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240" windowWidth="19440" windowHeight="14400" tabRatio="500" activeTab="5"/>
  </bookViews>
  <sheets>
    <sheet name="exercise 1" sheetId="1" r:id="rId1"/>
    <sheet name="exercise 2" sheetId="2" r:id="rId2"/>
    <sheet name="exercise 3" sheetId="3" r:id="rId3"/>
    <sheet name="exercise 4" sheetId="4" r:id="rId4"/>
    <sheet name="exercise 5" sheetId="6" r:id="rId5"/>
    <sheet name="exercise 6" sheetId="7" r:id="rId6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7" l="1"/>
  <c r="D28" i="7"/>
  <c r="D27" i="7"/>
  <c r="D26" i="7"/>
  <c r="E21" i="7"/>
  <c r="F21" i="7"/>
  <c r="G21" i="7"/>
  <c r="H21" i="7"/>
  <c r="J21" i="7"/>
  <c r="D21" i="7"/>
  <c r="E20" i="7"/>
  <c r="F20" i="7"/>
  <c r="G20" i="7"/>
  <c r="H20" i="7"/>
  <c r="J20" i="7"/>
  <c r="D20" i="7"/>
  <c r="B21" i="6"/>
  <c r="B20" i="6"/>
  <c r="B19" i="6"/>
  <c r="B17" i="6"/>
  <c r="B16" i="6"/>
  <c r="B14" i="6"/>
  <c r="B13" i="6"/>
  <c r="C26" i="4"/>
  <c r="C25" i="4" a="1"/>
  <c r="C25" i="4" s="1"/>
  <c r="F21" i="4"/>
  <c r="C21" i="4"/>
  <c r="F20" i="4" a="1"/>
  <c r="F20" i="4" s="1"/>
  <c r="C20" i="4" a="1"/>
  <c r="C20" i="4" s="1"/>
  <c r="F19" i="4" a="1"/>
  <c r="F19" i="4"/>
  <c r="C19" i="4" a="1"/>
  <c r="C19" i="4" s="1"/>
  <c r="E21" i="4"/>
  <c r="E20" i="4"/>
  <c r="E19" i="4"/>
  <c r="C14" i="3"/>
  <c r="C13" i="3"/>
  <c r="C10" i="3"/>
  <c r="G31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0" i="2"/>
  <c r="H5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0" i="2"/>
  <c r="E31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0" i="2"/>
  <c r="D20" i="1"/>
  <c r="C20" i="1"/>
  <c r="C19" i="1"/>
  <c r="G8" i="1" s="1"/>
  <c r="D29" i="2" l="1"/>
</calcChain>
</file>

<file path=xl/sharedStrings.xml><?xml version="1.0" encoding="utf-8"?>
<sst xmlns="http://schemas.openxmlformats.org/spreadsheetml/2006/main" count="109" uniqueCount="88">
  <si>
    <t xml:space="preserve">1 - </t>
  </si>
  <si>
    <t>compute the net present value and the internal rate of return for the following investment</t>
  </si>
  <si>
    <t>Then, plot the chart of the NPV</t>
  </si>
  <si>
    <t>time</t>
  </si>
  <si>
    <t>cash-flows</t>
  </si>
  <si>
    <t>discout rate</t>
  </si>
  <si>
    <t>1 -</t>
  </si>
  <si>
    <t>compute the price and the duration of the following 10 years government bond:</t>
  </si>
  <si>
    <t>YTM</t>
  </si>
  <si>
    <t>coupon rate</t>
  </si>
  <si>
    <t>C.F.</t>
  </si>
  <si>
    <t>Given the following inputs, compute the approximated change in price (based on a second order approximation)</t>
  </si>
  <si>
    <t>Duration</t>
  </si>
  <si>
    <t>Convexity</t>
  </si>
  <si>
    <t>bond Price</t>
  </si>
  <si>
    <t>new YTM</t>
  </si>
  <si>
    <t>given the inputs, compute the expected return, the variance, the std. Deviation,</t>
  </si>
  <si>
    <t>the covariance and the correlation for both portfolios</t>
  </si>
  <si>
    <t>variance covariance matrix</t>
  </si>
  <si>
    <t>expected returns</t>
  </si>
  <si>
    <t>portfolio weights</t>
  </si>
  <si>
    <t>A</t>
  </si>
  <si>
    <t>B</t>
  </si>
  <si>
    <t>C</t>
  </si>
  <si>
    <t>D</t>
  </si>
  <si>
    <t>E( R)</t>
  </si>
  <si>
    <t>portfolio 1</t>
  </si>
  <si>
    <t>portfolio 2</t>
  </si>
  <si>
    <t>compute the price of the call and put options with the Black-Scholes Model</t>
  </si>
  <si>
    <t>Stock price</t>
  </si>
  <si>
    <t>K (strike price)</t>
  </si>
  <si>
    <t>risk-free rate</t>
  </si>
  <si>
    <t>Maturity (in years)</t>
  </si>
  <si>
    <t xml:space="preserve">Volatility </t>
  </si>
  <si>
    <t>given the following yearly returns for three stocks and for the market,</t>
  </si>
  <si>
    <t>find the capital market line and the value of the R squared</t>
  </si>
  <si>
    <t>stock A</t>
  </si>
  <si>
    <t>stock B</t>
  </si>
  <si>
    <t>stock C</t>
  </si>
  <si>
    <t>stock D</t>
  </si>
  <si>
    <t>stock E</t>
  </si>
  <si>
    <t>MKT</t>
  </si>
  <si>
    <t>NPV</t>
  </si>
  <si>
    <t>IRR</t>
  </si>
  <si>
    <t>discount rate</t>
  </si>
  <si>
    <t>DCF</t>
  </si>
  <si>
    <t>PRICE</t>
  </si>
  <si>
    <t>WEIGHTS</t>
  </si>
  <si>
    <t>T*w</t>
  </si>
  <si>
    <t>duration</t>
  </si>
  <si>
    <t>&lt;---- d_P= - D/(1+r) * B * d_r + 0, 5* C/(1+r)^2 * B * d_r^2</t>
  </si>
  <si>
    <t>exp. Change in P</t>
  </si>
  <si>
    <t>change in YTM</t>
  </si>
  <si>
    <t>% exp. Change in P</t>
  </si>
  <si>
    <t>&lt;--- E(r )= w' * E (r_i)</t>
  </si>
  <si>
    <t>&lt;---- sigma^2 = w' * S  * w</t>
  </si>
  <si>
    <t>mean return</t>
  </si>
  <si>
    <t>variance</t>
  </si>
  <si>
    <t xml:space="preserve">std deviation </t>
  </si>
  <si>
    <t>covariance (1,  2)</t>
  </si>
  <si>
    <t>correlation (1,  2)</t>
  </si>
  <si>
    <t>MMULT = MATR.PRODOTTO</t>
  </si>
  <si>
    <t>TRANSPOSE = MATR.TRASPOSTA</t>
  </si>
  <si>
    <t>SQRT = RADQ</t>
  </si>
  <si>
    <t>&lt;----- d1 = (ln(S/K)+(r+0, 5*sigma^2)*T)/(sigma*SQRT(T))</t>
  </si>
  <si>
    <t>&lt;----- d2= d1-sigma*SQRT(T)</t>
  </si>
  <si>
    <t>&lt;----- N(d1),  N(d2),  NORMSDIST</t>
  </si>
  <si>
    <t>&lt;---- c = S*N(d1) - K*e^-rt*N(d2)</t>
  </si>
  <si>
    <t>&lt;---- p = with PCP</t>
  </si>
  <si>
    <t>d1</t>
  </si>
  <si>
    <t>d2</t>
  </si>
  <si>
    <t>N(d1)</t>
  </si>
  <si>
    <t>N(d2)</t>
  </si>
  <si>
    <t>call</t>
  </si>
  <si>
    <t>put</t>
  </si>
  <si>
    <t>p + S= c + Ke^-rt</t>
  </si>
  <si>
    <t>p= c + Ke^-rt - S</t>
  </si>
  <si>
    <t>(PCP) double check</t>
  </si>
  <si>
    <t>SLOPE</t>
  </si>
  <si>
    <t>INTERCEPT</t>
  </si>
  <si>
    <t>means</t>
  </si>
  <si>
    <t>betas</t>
  </si>
  <si>
    <t>we regress the means on the betas</t>
  </si>
  <si>
    <t>alpha</t>
  </si>
  <si>
    <t>beta</t>
  </si>
  <si>
    <t>R squared</t>
  </si>
  <si>
    <t>RSQ</t>
  </si>
  <si>
    <t>CML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</si>
</sst>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164" formatCode="#,##0.00\ &quot;€&quot;;[Red]#,##0.00\ &quot;€&quot;"/>
    <numFmt numFmtId="165" formatCode="0.0000"/>
    <numFmt numFmtId="174" formatCode="&quot;€&quot;\ 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6" fillId="0" borderId="0" xfId="0" applyFont="1" applyAlignment="1">
      <alignment horizontal="right"/>
    </xf>
    <xf numFmtId="0" fontId="7" fillId="0" borderId="0" xfId="0" applyFont="1"/>
    <xf numFmtId="0" fontId="3" fillId="2" borderId="0" xfId="0" applyFont="1" applyFill="1" applyAlignment="1">
      <alignment horizontal="center"/>
    </xf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9" fontId="0" fillId="0" borderId="0" xfId="1" applyFont="1"/>
    <xf numFmtId="0" fontId="0" fillId="0" borderId="0" xfId="1" applyNumberFormat="1" applyFont="1"/>
    <xf numFmtId="2" fontId="0" fillId="0" borderId="0" xfId="1" applyNumberFormat="1" applyFont="1"/>
    <xf numFmtId="165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8" fontId="0" fillId="0" borderId="0" xfId="0" applyNumberFormat="1"/>
    <xf numFmtId="0" fontId="2" fillId="0" borderId="0" xfId="0" applyFont="1" applyAlignment="1">
      <alignment horizontal="right"/>
    </xf>
    <xf numFmtId="10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10" fontId="0" fillId="0" borderId="0" xfId="1" applyNumberFormat="1" applyFont="1"/>
    <xf numFmtId="174" fontId="0" fillId="0" borderId="0" xfId="0" applyNumberFormat="1"/>
    <xf numFmtId="174" fontId="2" fillId="0" borderId="0" xfId="0" applyNumberFormat="1" applyFont="1"/>
    <xf numFmtId="165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'exercise 1'!$F$9:$F$29</c:f>
              <c:numCache>
                <c:formatCode>0%</c:formatCode>
                <c:ptCount val="2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</c:numCache>
            </c:numRef>
          </c:cat>
          <c:val>
            <c:numRef>
              <c:f>'exercise 1'!$G$9:$G$29</c:f>
              <c:numCache>
                <c:formatCode>General</c:formatCode>
                <c:ptCount val="21"/>
                <c:pt idx="0">
                  <c:v>0</c:v>
                </c:pt>
                <c:pt idx="1">
                  <c:v>4.3401674099499417</c:v>
                </c:pt>
                <c:pt idx="2">
                  <c:v>7.5077457358474362</c:v>
                </c:pt>
                <c:pt idx="3">
                  <c:v>9.6960180534514109</c:v>
                </c:pt>
                <c:pt idx="4">
                  <c:v>11.066884745994884</c:v>
                </c:pt>
                <c:pt idx="5">
                  <c:v>11.756213870140556</c:v>
                </c:pt>
                <c:pt idx="6">
                  <c:v>11.878220732990741</c:v>
                </c:pt>
                <c:pt idx="7">
                  <c:v>11.529064359910649</c:v>
                </c:pt>
                <c:pt idx="8">
                  <c:v>10.789809971152749</c:v>
                </c:pt>
                <c:pt idx="9">
                  <c:v>9.7288764135292354</c:v>
                </c:pt>
                <c:pt idx="10">
                  <c:v>8.404063786008237</c:v>
                </c:pt>
                <c:pt idx="11">
                  <c:v>6.864237794003742</c:v>
                </c:pt>
                <c:pt idx="12">
                  <c:v>5.1507325522856036</c:v>
                </c:pt>
                <c:pt idx="13">
                  <c:v>3.2985217776286504</c:v>
                </c:pt>
                <c:pt idx="14">
                  <c:v>1.3371989130973816</c:v>
                </c:pt>
                <c:pt idx="15">
                  <c:v>-0.70820080098468452</c:v>
                </c:pt>
                <c:pt idx="16">
                  <c:v>-2.816509342323485</c:v>
                </c:pt>
                <c:pt idx="17">
                  <c:v>-4.9698439168423079</c:v>
                </c:pt>
                <c:pt idx="18">
                  <c:v>-7.1531158155363812</c:v>
                </c:pt>
                <c:pt idx="19">
                  <c:v>-9.3536151684897959</c:v>
                </c:pt>
                <c:pt idx="20">
                  <c:v>-11.560659249122352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52128"/>
        <c:axId val="1006959360"/>
      </c:lineChart>
      <c:catAx>
        <c:axId val="7275212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006959360"/>
        <c:crosses val="autoZero"/>
        <c:auto val="1"/>
        <c:lblAlgn val="ctr"/>
        <c:lblOffset val="100"/>
        <c:noMultiLvlLbl val="0"/>
      </c:catAx>
      <c:valAx>
        <c:axId val="100695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752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638175</xdr:colOff>
      <xdr:row>4</xdr:row>
      <xdr:rowOff>195262</xdr:rowOff>
    </xdr:from>
    <xdr:to>
      <xdr:col>13</xdr:col>
      <xdr:colOff>180975</xdr:colOff>
      <xdr:row>18</xdr:row>
      <xdr:rowOff>138112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I22" sqref="I22"/>
    </sheetView>
  </sheetViews>
  <sheetFormatPr defaultColWidth="11" defaultRowHeight="15.75" x14ac:dyDescent="0.25"/>
  <cols>
    <col min="6" max="7" width="13.5" customWidth="1"/>
  </cols>
  <sheetData>
    <row r="1" spans="1:9" x14ac:dyDescent="0.25">
      <c r="A1" s="1"/>
    </row>
    <row r="2" spans="1:9" x14ac:dyDescent="0.25">
      <c r="A2" s="1"/>
    </row>
    <row r="3" spans="1:9" ht="26.25" x14ac:dyDescent="0.4">
      <c r="A3" s="1" t="s">
        <v>0</v>
      </c>
      <c r="B3" s="2" t="s">
        <v>1</v>
      </c>
      <c r="C3" s="3"/>
      <c r="D3" s="3"/>
      <c r="E3" s="3"/>
      <c r="F3" s="3"/>
      <c r="G3" s="3"/>
      <c r="H3" s="3"/>
      <c r="I3" s="3"/>
    </row>
    <row r="4" spans="1:9" ht="26.25" x14ac:dyDescent="0.4">
      <c r="A4" s="1"/>
      <c r="B4" s="2" t="s">
        <v>2</v>
      </c>
      <c r="C4" s="3"/>
      <c r="D4" s="3"/>
      <c r="E4" s="3"/>
      <c r="F4" s="3"/>
      <c r="G4" s="3"/>
      <c r="H4" s="3"/>
      <c r="I4" s="3"/>
    </row>
    <row r="5" spans="1:9" x14ac:dyDescent="0.25">
      <c r="A5" s="1"/>
    </row>
    <row r="7" spans="1:9" x14ac:dyDescent="0.25">
      <c r="B7" s="4" t="s">
        <v>3</v>
      </c>
      <c r="C7" s="4" t="s">
        <v>4</v>
      </c>
      <c r="F7" t="s">
        <v>44</v>
      </c>
      <c r="G7" t="s">
        <v>42</v>
      </c>
    </row>
    <row r="8" spans="1:9" x14ac:dyDescent="0.25">
      <c r="B8" s="4">
        <v>0</v>
      </c>
      <c r="C8" s="4">
        <v>-150</v>
      </c>
      <c r="G8" s="29">
        <f>C19</f>
        <v>11.756213870140556</v>
      </c>
    </row>
    <row r="9" spans="1:9" x14ac:dyDescent="0.25">
      <c r="B9" s="4">
        <v>1</v>
      </c>
      <c r="C9" s="4">
        <v>100</v>
      </c>
      <c r="F9" s="5">
        <v>0</v>
      </c>
      <c r="G9">
        <f t="dataTable" ref="G9:G29" dt2D="0" dtr="0" r1="C16"/>
        <v>0</v>
      </c>
    </row>
    <row r="10" spans="1:9" x14ac:dyDescent="0.25">
      <c r="B10" s="4">
        <v>2</v>
      </c>
      <c r="C10" s="4">
        <v>100</v>
      </c>
      <c r="F10" s="5">
        <v>0.02</v>
      </c>
      <c r="G10">
        <v>4.3401674099499417</v>
      </c>
    </row>
    <row r="11" spans="1:9" x14ac:dyDescent="0.25">
      <c r="B11" s="4">
        <v>3</v>
      </c>
      <c r="C11" s="4">
        <v>100</v>
      </c>
      <c r="F11" s="5">
        <v>0.04</v>
      </c>
      <c r="G11">
        <v>7.5077457358474362</v>
      </c>
    </row>
    <row r="12" spans="1:9" x14ac:dyDescent="0.25">
      <c r="B12" s="4">
        <v>4</v>
      </c>
      <c r="C12" s="4">
        <v>100</v>
      </c>
      <c r="F12" s="5">
        <v>0.06</v>
      </c>
      <c r="G12">
        <v>9.6960180534514109</v>
      </c>
    </row>
    <row r="13" spans="1:9" x14ac:dyDescent="0.25">
      <c r="B13" s="4">
        <v>5</v>
      </c>
      <c r="C13" s="4">
        <v>-250</v>
      </c>
      <c r="F13" s="5">
        <v>0.08</v>
      </c>
      <c r="G13">
        <v>11.066884745994884</v>
      </c>
    </row>
    <row r="14" spans="1:9" x14ac:dyDescent="0.25">
      <c r="F14" s="5">
        <v>0.1</v>
      </c>
      <c r="G14">
        <v>11.756213870140556</v>
      </c>
    </row>
    <row r="15" spans="1:9" x14ac:dyDescent="0.25">
      <c r="F15" s="5">
        <v>0.12</v>
      </c>
      <c r="G15">
        <v>11.878220732990741</v>
      </c>
    </row>
    <row r="16" spans="1:9" x14ac:dyDescent="0.25">
      <c r="B16" t="s">
        <v>5</v>
      </c>
      <c r="C16" s="5">
        <v>0.1</v>
      </c>
      <c r="F16" s="5">
        <v>0.14000000000000001</v>
      </c>
      <c r="G16">
        <v>11.529064359910649</v>
      </c>
    </row>
    <row r="17" spans="2:7" x14ac:dyDescent="0.25">
      <c r="F17" s="5">
        <v>0.16</v>
      </c>
      <c r="G17">
        <v>10.789809971152749</v>
      </c>
    </row>
    <row r="18" spans="2:7" x14ac:dyDescent="0.25">
      <c r="F18" s="5">
        <v>0.18</v>
      </c>
      <c r="G18">
        <v>9.7288764135292354</v>
      </c>
    </row>
    <row r="19" spans="2:7" x14ac:dyDescent="0.25">
      <c r="B19" t="s">
        <v>42</v>
      </c>
      <c r="C19" s="29">
        <f>NPV(C16,C9:C13)+C8</f>
        <v>11.756213870140556</v>
      </c>
      <c r="F19" s="5">
        <v>0.2</v>
      </c>
      <c r="G19">
        <v>8.404063786008237</v>
      </c>
    </row>
    <row r="20" spans="2:7" x14ac:dyDescent="0.25">
      <c r="B20" t="s">
        <v>43</v>
      </c>
      <c r="C20" s="5">
        <f>IRR(C8:C13,0.1)</f>
        <v>1.9597656830683263E-12</v>
      </c>
      <c r="D20" s="5">
        <f>IRR(C8:C13,0.9)</f>
        <v>0.29315412810537245</v>
      </c>
      <c r="F20" s="5">
        <v>0.22</v>
      </c>
      <c r="G20">
        <v>6.864237794003742</v>
      </c>
    </row>
    <row r="21" spans="2:7" x14ac:dyDescent="0.25">
      <c r="F21" s="5">
        <v>0.24</v>
      </c>
      <c r="G21">
        <v>5.1507325522856036</v>
      </c>
    </row>
    <row r="22" spans="2:7" x14ac:dyDescent="0.25">
      <c r="F22" s="5">
        <v>0.26</v>
      </c>
      <c r="G22">
        <v>3.2985217776286504</v>
      </c>
    </row>
    <row r="23" spans="2:7" x14ac:dyDescent="0.25">
      <c r="F23" s="5">
        <v>0.28000000000000003</v>
      </c>
      <c r="G23">
        <v>1.3371989130973816</v>
      </c>
    </row>
    <row r="24" spans="2:7" x14ac:dyDescent="0.25">
      <c r="F24" s="5">
        <v>0.3</v>
      </c>
      <c r="G24">
        <v>-0.70820080098468452</v>
      </c>
    </row>
    <row r="25" spans="2:7" x14ac:dyDescent="0.25">
      <c r="F25" s="5">
        <v>0.32</v>
      </c>
      <c r="G25">
        <v>-2.816509342323485</v>
      </c>
    </row>
    <row r="26" spans="2:7" x14ac:dyDescent="0.25">
      <c r="F26" s="5">
        <v>0.34</v>
      </c>
      <c r="G26">
        <v>-4.9698439168423079</v>
      </c>
    </row>
    <row r="27" spans="2:7" x14ac:dyDescent="0.25">
      <c r="F27" s="5">
        <v>0.36</v>
      </c>
      <c r="G27">
        <v>-7.1531158155363812</v>
      </c>
    </row>
    <row r="28" spans="2:7" x14ac:dyDescent="0.25">
      <c r="F28" s="5">
        <v>0.38</v>
      </c>
      <c r="G28">
        <v>-9.3536151684897959</v>
      </c>
    </row>
    <row r="29" spans="2:7" x14ac:dyDescent="0.25">
      <c r="F29" s="5">
        <v>0.4</v>
      </c>
      <c r="G29">
        <v>-11.560659249122352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workbookViewId="0">
      <selection activeCell="I9" sqref="I9"/>
    </sheetView>
  </sheetViews>
  <sheetFormatPr defaultColWidth="11" defaultRowHeight="15.75" x14ac:dyDescent="0.25"/>
  <cols>
    <col min="3" max="3" width="11.375" customWidth="1"/>
    <col min="4" max="4" width="12" customWidth="1"/>
    <col min="5" max="5" width="15.75" customWidth="1"/>
    <col min="6" max="6" width="17.375" customWidth="1"/>
    <col min="7" max="7" width="13.875" customWidth="1"/>
    <col min="8" max="8" width="13.125" customWidth="1"/>
  </cols>
  <sheetData>
    <row r="3" spans="1:8" ht="26.25" x14ac:dyDescent="0.4">
      <c r="A3" s="6" t="s">
        <v>6</v>
      </c>
      <c r="B3" s="2" t="s">
        <v>7</v>
      </c>
      <c r="C3" s="7"/>
      <c r="D3" s="7"/>
      <c r="E3" s="7"/>
      <c r="F3" s="7"/>
      <c r="G3" s="7"/>
    </row>
    <row r="4" spans="1:8" x14ac:dyDescent="0.25">
      <c r="A4" s="1"/>
    </row>
    <row r="5" spans="1:8" x14ac:dyDescent="0.25">
      <c r="A5" s="1"/>
      <c r="B5" t="s">
        <v>8</v>
      </c>
      <c r="C5" s="5">
        <v>0.05</v>
      </c>
      <c r="H5">
        <f>SUM(F10:F29)</f>
        <v>1</v>
      </c>
    </row>
    <row r="6" spans="1:8" x14ac:dyDescent="0.25">
      <c r="A6" s="1"/>
      <c r="B6" t="s">
        <v>9</v>
      </c>
      <c r="C6" s="5">
        <v>0.06</v>
      </c>
    </row>
    <row r="9" spans="1:8" x14ac:dyDescent="0.25">
      <c r="C9" s="8" t="s">
        <v>3</v>
      </c>
      <c r="D9" s="8" t="s">
        <v>10</v>
      </c>
      <c r="E9" s="4" t="s">
        <v>45</v>
      </c>
      <c r="F9" s="4" t="s">
        <v>47</v>
      </c>
      <c r="G9" s="4" t="s">
        <v>48</v>
      </c>
    </row>
    <row r="10" spans="1:8" x14ac:dyDescent="0.25">
      <c r="C10">
        <v>0.5</v>
      </c>
      <c r="D10">
        <v>3</v>
      </c>
      <c r="E10">
        <f>D10*(1+$C$5)^-C10</f>
        <v>2.9277002188455992</v>
      </c>
      <c r="F10">
        <f>E10/$E$31</f>
        <v>2.7034790357617289E-2</v>
      </c>
      <c r="G10">
        <f>F10*C10</f>
        <v>1.3517395178808645E-2</v>
      </c>
    </row>
    <row r="11" spans="1:8" x14ac:dyDescent="0.25">
      <c r="C11">
        <v>1</v>
      </c>
      <c r="D11">
        <v>3</v>
      </c>
      <c r="E11">
        <f t="shared" ref="E11:E29" si="0">D11*(1+$C$5)^-C11</f>
        <v>2.8571428571428568</v>
      </c>
      <c r="F11">
        <f t="shared" ref="F11:F29" si="1">E11/$E$31</f>
        <v>2.6383253882147014E-2</v>
      </c>
      <c r="G11">
        <f t="shared" ref="G11:G29" si="2">F11*C11</f>
        <v>2.6383253882147014E-2</v>
      </c>
    </row>
    <row r="12" spans="1:8" x14ac:dyDescent="0.25">
      <c r="C12">
        <v>1.5</v>
      </c>
      <c r="D12">
        <v>3</v>
      </c>
      <c r="E12">
        <f t="shared" si="0"/>
        <v>2.7882859227100951</v>
      </c>
      <c r="F12">
        <f t="shared" si="1"/>
        <v>2.5747419388206946E-2</v>
      </c>
      <c r="G12">
        <f t="shared" si="2"/>
        <v>3.8621129082310419E-2</v>
      </c>
    </row>
    <row r="13" spans="1:8" x14ac:dyDescent="0.25">
      <c r="C13">
        <v>2</v>
      </c>
      <c r="D13">
        <v>3</v>
      </c>
      <c r="E13">
        <f t="shared" si="0"/>
        <v>2.7210884353741496</v>
      </c>
      <c r="F13">
        <f t="shared" si="1"/>
        <v>2.5126908459187632E-2</v>
      </c>
      <c r="G13">
        <f t="shared" si="2"/>
        <v>5.0253816918375264E-2</v>
      </c>
    </row>
    <row r="14" spans="1:8" x14ac:dyDescent="0.25">
      <c r="C14">
        <v>2.5</v>
      </c>
      <c r="D14">
        <v>3</v>
      </c>
      <c r="E14">
        <f t="shared" si="0"/>
        <v>2.6555104025810423</v>
      </c>
      <c r="F14">
        <f t="shared" si="1"/>
        <v>2.4521351798292325E-2</v>
      </c>
      <c r="G14">
        <f t="shared" si="2"/>
        <v>6.1303379495730809E-2</v>
      </c>
    </row>
    <row r="15" spans="1:8" x14ac:dyDescent="0.25">
      <c r="C15">
        <v>3</v>
      </c>
      <c r="D15">
        <v>3</v>
      </c>
      <c r="E15">
        <f t="shared" si="0"/>
        <v>2.5915127955944279</v>
      </c>
      <c r="F15">
        <f t="shared" si="1"/>
        <v>2.3930389008750125E-2</v>
      </c>
      <c r="G15">
        <f t="shared" si="2"/>
        <v>7.179116702625038E-2</v>
      </c>
    </row>
    <row r="16" spans="1:8" x14ac:dyDescent="0.25">
      <c r="C16">
        <v>3.5</v>
      </c>
      <c r="D16">
        <v>3</v>
      </c>
      <c r="E16">
        <f t="shared" si="0"/>
        <v>2.5290575262676591</v>
      </c>
      <c r="F16">
        <f t="shared" si="1"/>
        <v>2.3353668379326023E-2</v>
      </c>
      <c r="G16">
        <f t="shared" si="2"/>
        <v>8.1737839327641088E-2</v>
      </c>
    </row>
    <row r="17" spans="3:7" x14ac:dyDescent="0.25">
      <c r="C17">
        <v>4</v>
      </c>
      <c r="D17">
        <v>3</v>
      </c>
      <c r="E17">
        <f t="shared" si="0"/>
        <v>2.468107424375646</v>
      </c>
      <c r="F17">
        <f t="shared" si="1"/>
        <v>2.2790846675000122E-2</v>
      </c>
      <c r="G17">
        <f t="shared" si="2"/>
        <v>9.1163386700000487E-2</v>
      </c>
    </row>
    <row r="18" spans="3:7" x14ac:dyDescent="0.25">
      <c r="C18">
        <v>4.5</v>
      </c>
      <c r="D18">
        <v>3</v>
      </c>
      <c r="E18">
        <f t="shared" si="0"/>
        <v>2.4086262154930091</v>
      </c>
      <c r="F18">
        <f t="shared" si="1"/>
        <v>2.2241588932691455E-2</v>
      </c>
      <c r="G18">
        <f t="shared" si="2"/>
        <v>0.10008715019711155</v>
      </c>
    </row>
    <row r="19" spans="3:7" x14ac:dyDescent="0.25">
      <c r="C19">
        <v>5</v>
      </c>
      <c r="D19">
        <v>3</v>
      </c>
      <c r="E19">
        <f t="shared" si="0"/>
        <v>2.3505784994053771</v>
      </c>
      <c r="F19">
        <f t="shared" si="1"/>
        <v>2.1705568261904878E-2</v>
      </c>
      <c r="G19">
        <f t="shared" si="2"/>
        <v>0.10852784130952439</v>
      </c>
    </row>
    <row r="20" spans="3:7" x14ac:dyDescent="0.25">
      <c r="C20">
        <v>5.5</v>
      </c>
      <c r="D20">
        <v>3</v>
      </c>
      <c r="E20">
        <f t="shared" si="0"/>
        <v>2.2939297290409604</v>
      </c>
      <c r="F20">
        <f t="shared" si="1"/>
        <v>2.1182465650182329E-2</v>
      </c>
      <c r="G20">
        <f t="shared" si="2"/>
        <v>0.11650356107600281</v>
      </c>
    </row>
    <row r="21" spans="3:7" x14ac:dyDescent="0.25">
      <c r="C21">
        <v>6</v>
      </c>
      <c r="D21">
        <v>3</v>
      </c>
      <c r="E21">
        <f t="shared" si="0"/>
        <v>2.2386461899098826</v>
      </c>
      <c r="F21">
        <f t="shared" si="1"/>
        <v>2.0671969773242739E-2</v>
      </c>
      <c r="G21">
        <f t="shared" si="2"/>
        <v>0.12403181863945643</v>
      </c>
    </row>
    <row r="22" spans="3:7" x14ac:dyDescent="0.25">
      <c r="C22">
        <v>6.5</v>
      </c>
      <c r="D22">
        <v>3</v>
      </c>
      <c r="E22">
        <f t="shared" si="0"/>
        <v>2.1846949800390099</v>
      </c>
      <c r="F22">
        <f t="shared" si="1"/>
        <v>2.0173776809697456E-2</v>
      </c>
      <c r="G22">
        <f t="shared" si="2"/>
        <v>0.13112954926303347</v>
      </c>
    </row>
    <row r="23" spans="3:7" x14ac:dyDescent="0.25">
      <c r="C23">
        <v>7</v>
      </c>
      <c r="D23">
        <v>3</v>
      </c>
      <c r="E23">
        <f t="shared" si="0"/>
        <v>2.1320439903903643</v>
      </c>
      <c r="F23">
        <f t="shared" si="1"/>
        <v>1.9687590260231178E-2</v>
      </c>
      <c r="G23">
        <f t="shared" si="2"/>
        <v>0.13781313182161825</v>
      </c>
    </row>
    <row r="24" spans="3:7" x14ac:dyDescent="0.25">
      <c r="C24">
        <v>7.5</v>
      </c>
      <c r="D24">
        <v>3</v>
      </c>
      <c r="E24">
        <f t="shared" si="0"/>
        <v>2.0806618857514381</v>
      </c>
      <c r="F24">
        <f t="shared" si="1"/>
        <v>1.9213120771140436E-2</v>
      </c>
      <c r="G24">
        <f t="shared" si="2"/>
        <v>0.14409840578355326</v>
      </c>
    </row>
    <row r="25" spans="3:7" x14ac:dyDescent="0.25">
      <c r="C25">
        <v>8</v>
      </c>
      <c r="D25">
        <v>3</v>
      </c>
      <c r="E25">
        <f t="shared" si="0"/>
        <v>2.0305180860860617</v>
      </c>
      <c r="F25">
        <f t="shared" si="1"/>
        <v>1.8750085962124935E-2</v>
      </c>
      <c r="G25">
        <f t="shared" si="2"/>
        <v>0.15000068769699948</v>
      </c>
    </row>
    <row r="26" spans="3:7" x14ac:dyDescent="0.25">
      <c r="C26">
        <v>8.5</v>
      </c>
      <c r="D26">
        <v>3</v>
      </c>
      <c r="E26">
        <f t="shared" si="0"/>
        <v>1.981582748334703</v>
      </c>
      <c r="F26">
        <f t="shared" si="1"/>
        <v>1.8298210258228989E-2</v>
      </c>
      <c r="G26">
        <f t="shared" si="2"/>
        <v>0.1555347871949464</v>
      </c>
    </row>
    <row r="27" spans="3:7" x14ac:dyDescent="0.25">
      <c r="C27">
        <v>9</v>
      </c>
      <c r="D27">
        <v>3</v>
      </c>
      <c r="E27">
        <f t="shared" si="0"/>
        <v>1.9338267486533918</v>
      </c>
      <c r="F27">
        <f t="shared" si="1"/>
        <v>1.785722472583327E-2</v>
      </c>
      <c r="G27">
        <f t="shared" si="2"/>
        <v>0.16071502253249942</v>
      </c>
    </row>
    <row r="28" spans="3:7" x14ac:dyDescent="0.25">
      <c r="C28">
        <v>9.5</v>
      </c>
      <c r="D28">
        <v>3</v>
      </c>
      <c r="E28">
        <f t="shared" si="0"/>
        <v>1.887221665080669</v>
      </c>
      <c r="F28">
        <f t="shared" si="1"/>
        <v>1.742686691259903E-2</v>
      </c>
      <c r="G28">
        <f t="shared" si="2"/>
        <v>0.1655552356696908</v>
      </c>
    </row>
    <row r="29" spans="3:7" x14ac:dyDescent="0.25">
      <c r="C29">
        <v>10</v>
      </c>
      <c r="D29">
        <f>100+3</f>
        <v>103</v>
      </c>
      <c r="E29">
        <f t="shared" si="0"/>
        <v>63.233065114698206</v>
      </c>
      <c r="F29">
        <f t="shared" si="1"/>
        <v>0.58390290373359577</v>
      </c>
      <c r="G29">
        <f t="shared" si="2"/>
        <v>5.8390290373359575</v>
      </c>
    </row>
    <row r="31" spans="3:7" x14ac:dyDescent="0.25">
      <c r="D31" s="12" t="s">
        <v>46</v>
      </c>
      <c r="E31">
        <f>SUM(E10:E29)</f>
        <v>108.29380143577455</v>
      </c>
      <c r="F31" s="30" t="s">
        <v>49</v>
      </c>
      <c r="G31">
        <f>SUM(G10:G29)</f>
        <v>7.7677975961316577</v>
      </c>
    </row>
  </sheetData>
  <pageMargins left="0.75" right="0.75" top="1" bottom="1" header="0.5" footer="0.5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zoomScale="150" zoomScaleNormal="150" workbookViewId="0">
      <selection activeCell="C13" sqref="C13"/>
    </sheetView>
  </sheetViews>
  <sheetFormatPr defaultColWidth="11" defaultRowHeight="15.75" x14ac:dyDescent="0.25"/>
  <cols>
    <col min="2" max="2" width="16.625" customWidth="1"/>
    <col min="3" max="3" width="13" customWidth="1"/>
  </cols>
  <sheetData>
    <row r="2" spans="1:9" ht="26.25" x14ac:dyDescent="0.4">
      <c r="A2" s="1" t="s">
        <v>0</v>
      </c>
      <c r="B2" s="2" t="s">
        <v>11</v>
      </c>
      <c r="C2" s="3"/>
      <c r="D2" s="3"/>
      <c r="E2" s="3"/>
      <c r="F2" s="3"/>
      <c r="G2" s="3"/>
      <c r="H2" s="3"/>
      <c r="I2" s="3"/>
    </row>
    <row r="5" spans="1:9" x14ac:dyDescent="0.25">
      <c r="B5" t="s">
        <v>14</v>
      </c>
      <c r="C5" s="9">
        <v>123.2</v>
      </c>
    </row>
    <row r="6" spans="1:9" x14ac:dyDescent="0.25">
      <c r="B6" t="s">
        <v>8</v>
      </c>
      <c r="C6" s="5">
        <v>0.05</v>
      </c>
    </row>
    <row r="7" spans="1:9" x14ac:dyDescent="0.25">
      <c r="B7" t="s">
        <v>12</v>
      </c>
      <c r="C7">
        <v>7.43</v>
      </c>
    </row>
    <row r="8" spans="1:9" x14ac:dyDescent="0.25">
      <c r="B8" t="s">
        <v>13</v>
      </c>
      <c r="C8">
        <v>80.599999999999994</v>
      </c>
    </row>
    <row r="9" spans="1:9" x14ac:dyDescent="0.25">
      <c r="B9" t="s">
        <v>15</v>
      </c>
      <c r="C9" s="10">
        <v>5.5E-2</v>
      </c>
    </row>
    <row r="10" spans="1:9" x14ac:dyDescent="0.25">
      <c r="B10" t="s">
        <v>52</v>
      </c>
      <c r="C10" s="10">
        <f>C9-C6</f>
        <v>4.9999999999999975E-3</v>
      </c>
    </row>
    <row r="13" spans="1:9" x14ac:dyDescent="0.25">
      <c r="B13" t="s">
        <v>51</v>
      </c>
      <c r="C13" s="32">
        <f>(-C7/(1+C6))*C5*C10+0.5*(C8/(1+C6)^2)*C5*C10^2</f>
        <v>-4.2463492063492039</v>
      </c>
      <c r="E13" t="s">
        <v>50</v>
      </c>
    </row>
    <row r="14" spans="1:9" x14ac:dyDescent="0.25">
      <c r="B14" t="s">
        <v>53</v>
      </c>
      <c r="C14" s="31">
        <f>C13/C5</f>
        <v>-3.4467120181405873E-2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opLeftCell="B1" workbookViewId="0">
      <selection activeCell="G31" sqref="G31"/>
    </sheetView>
  </sheetViews>
  <sheetFormatPr defaultColWidth="11" defaultRowHeight="15.75" x14ac:dyDescent="0.25"/>
  <cols>
    <col min="2" max="2" width="15.375" customWidth="1"/>
    <col min="5" max="5" width="14.125" customWidth="1"/>
    <col min="12" max="12" width="12.375" customWidth="1"/>
    <col min="13" max="13" width="13.875" customWidth="1"/>
  </cols>
  <sheetData>
    <row r="2" spans="1:13" ht="26.25" x14ac:dyDescent="0.4">
      <c r="A2" s="11" t="s">
        <v>0</v>
      </c>
      <c r="B2" s="3" t="s">
        <v>16</v>
      </c>
    </row>
    <row r="3" spans="1:13" ht="26.25" x14ac:dyDescent="0.4">
      <c r="B3" s="3" t="s">
        <v>17</v>
      </c>
    </row>
    <row r="7" spans="1:13" x14ac:dyDescent="0.25">
      <c r="B7" s="12" t="s">
        <v>18</v>
      </c>
      <c r="C7" s="12"/>
      <c r="D7" s="12"/>
      <c r="E7" s="12"/>
      <c r="F7" s="12"/>
      <c r="G7" s="12"/>
      <c r="H7" s="12" t="s">
        <v>19</v>
      </c>
      <c r="I7" s="12"/>
      <c r="J7" s="12"/>
      <c r="K7" s="12"/>
      <c r="L7" s="12" t="s">
        <v>20</v>
      </c>
      <c r="M7" s="12"/>
    </row>
    <row r="9" spans="1:13" x14ac:dyDescent="0.25">
      <c r="C9" t="s">
        <v>21</v>
      </c>
      <c r="D9" t="s">
        <v>22</v>
      </c>
      <c r="E9" t="s">
        <v>23</v>
      </c>
      <c r="F9" t="s">
        <v>24</v>
      </c>
      <c r="I9" t="s">
        <v>25</v>
      </c>
      <c r="L9" t="s">
        <v>26</v>
      </c>
      <c r="M9" t="s">
        <v>27</v>
      </c>
    </row>
    <row r="10" spans="1:13" x14ac:dyDescent="0.25">
      <c r="B10" t="s">
        <v>21</v>
      </c>
      <c r="C10" s="13">
        <v>0.5</v>
      </c>
      <c r="D10" s="14">
        <v>0.01</v>
      </c>
      <c r="E10" s="14">
        <v>7.0000000000000007E-2</v>
      </c>
      <c r="F10" s="15">
        <v>0.05</v>
      </c>
      <c r="H10" s="11" t="s">
        <v>21</v>
      </c>
      <c r="I10" s="5">
        <v>0.1</v>
      </c>
      <c r="K10" s="11" t="s">
        <v>21</v>
      </c>
      <c r="L10">
        <v>0.25</v>
      </c>
      <c r="M10">
        <v>0.4</v>
      </c>
    </row>
    <row r="11" spans="1:13" x14ac:dyDescent="0.25">
      <c r="B11" t="s">
        <v>22</v>
      </c>
      <c r="C11" s="16">
        <v>0.01</v>
      </c>
      <c r="D11" s="17">
        <v>0.1</v>
      </c>
      <c r="E11" s="17">
        <v>-0.1</v>
      </c>
      <c r="F11" s="18">
        <v>-0.04</v>
      </c>
      <c r="H11" s="11" t="s">
        <v>22</v>
      </c>
      <c r="I11" s="5">
        <v>0.03</v>
      </c>
      <c r="K11" s="11" t="s">
        <v>22</v>
      </c>
      <c r="L11">
        <v>0.25</v>
      </c>
      <c r="M11">
        <v>0.1</v>
      </c>
    </row>
    <row r="12" spans="1:13" x14ac:dyDescent="0.25">
      <c r="B12" t="s">
        <v>23</v>
      </c>
      <c r="C12" s="16">
        <v>7.0000000000000007E-2</v>
      </c>
      <c r="D12" s="17">
        <v>-0.1</v>
      </c>
      <c r="E12" s="17">
        <v>0.15</v>
      </c>
      <c r="F12" s="18">
        <v>0.02</v>
      </c>
      <c r="H12" s="11" t="s">
        <v>23</v>
      </c>
      <c r="I12" s="5">
        <v>-0.01</v>
      </c>
      <c r="K12" s="11" t="s">
        <v>23</v>
      </c>
      <c r="L12">
        <v>0.1</v>
      </c>
      <c r="M12">
        <v>0.3</v>
      </c>
    </row>
    <row r="13" spans="1:13" x14ac:dyDescent="0.25">
      <c r="B13" t="s">
        <v>24</v>
      </c>
      <c r="C13" s="19">
        <v>0.05</v>
      </c>
      <c r="D13" s="20">
        <v>-0.04</v>
      </c>
      <c r="E13" s="20">
        <v>0.02</v>
      </c>
      <c r="F13" s="21">
        <v>0.4</v>
      </c>
      <c r="H13" s="11" t="s">
        <v>24</v>
      </c>
      <c r="I13" s="5">
        <v>0.05</v>
      </c>
      <c r="K13" s="11" t="s">
        <v>24</v>
      </c>
      <c r="L13">
        <v>0.4</v>
      </c>
      <c r="M13">
        <v>0.2</v>
      </c>
    </row>
    <row r="17" spans="2:12" x14ac:dyDescent="0.25">
      <c r="B17" s="33" t="s">
        <v>26</v>
      </c>
      <c r="E17" s="33" t="s">
        <v>27</v>
      </c>
    </row>
    <row r="18" spans="2:12" x14ac:dyDescent="0.25">
      <c r="L18" t="s">
        <v>54</v>
      </c>
    </row>
    <row r="19" spans="2:12" x14ac:dyDescent="0.25">
      <c r="B19" t="s">
        <v>56</v>
      </c>
      <c r="C19" s="34">
        <f t="array" ref="C19">MMULT(TRANSPOSE(L10:L13),I10:I13)</f>
        <v>5.1500000000000004E-2</v>
      </c>
      <c r="E19" t="str">
        <f>B19</f>
        <v>mean return</v>
      </c>
      <c r="F19" s="34">
        <f t="array" ref="F19">MMULT(TRANSPOSE(M10:M13),I10:I13)</f>
        <v>5.000000000000001E-2</v>
      </c>
      <c r="L19" t="s">
        <v>55</v>
      </c>
    </row>
    <row r="20" spans="2:12" x14ac:dyDescent="0.25">
      <c r="B20" t="s">
        <v>57</v>
      </c>
      <c r="C20">
        <f t="array" ref="C20">MMULT(MMULT(TRANSPOSE(L10:L13),C10:F13),L10:L13)</f>
        <v>0.10635000000000003</v>
      </c>
      <c r="E20" t="str">
        <f>B20</f>
        <v>variance</v>
      </c>
      <c r="F20">
        <f t="array" ref="F20">MMULT(MMULT(TRANSPOSE(M10:M13),C10:F13),M10:M13)</f>
        <v>0.13090000000000002</v>
      </c>
    </row>
    <row r="21" spans="2:12" x14ac:dyDescent="0.25">
      <c r="B21" t="s">
        <v>58</v>
      </c>
      <c r="C21" s="34">
        <f>SQRT(C20)</f>
        <v>0.32611347718240657</v>
      </c>
      <c r="E21" t="str">
        <f>B21</f>
        <v xml:space="preserve">std deviation </v>
      </c>
      <c r="F21" s="34">
        <f>SQRT(F20)</f>
        <v>0.36180105030251092</v>
      </c>
    </row>
    <row r="23" spans="2:12" x14ac:dyDescent="0.25">
      <c r="L23" t="s">
        <v>61</v>
      </c>
    </row>
    <row r="24" spans="2:12" x14ac:dyDescent="0.25">
      <c r="L24" t="s">
        <v>62</v>
      </c>
    </row>
    <row r="25" spans="2:12" x14ac:dyDescent="0.25">
      <c r="B25" t="s">
        <v>59</v>
      </c>
      <c r="C25">
        <f t="array" ref="C25">MMULT(MMULT(TRANSPOSE(L10:L13),C10:F13),M10:M13)</f>
        <v>9.9500000000000005E-2</v>
      </c>
      <c r="L25" t="s">
        <v>63</v>
      </c>
    </row>
    <row r="26" spans="2:12" x14ac:dyDescent="0.25">
      <c r="B26" t="s">
        <v>60</v>
      </c>
      <c r="C26">
        <f>C25/(C21*F21)</f>
        <v>0.84330467972505696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opLeftCell="A4" zoomScale="160" zoomScaleNormal="160" workbookViewId="0">
      <selection activeCell="A22" sqref="A22"/>
    </sheetView>
  </sheetViews>
  <sheetFormatPr defaultColWidth="11" defaultRowHeight="15.75" x14ac:dyDescent="0.25"/>
  <cols>
    <col min="1" max="1" width="16.625" customWidth="1"/>
    <col min="2" max="2" width="20.125" customWidth="1"/>
  </cols>
  <sheetData>
    <row r="2" spans="1:4" ht="26.25" x14ac:dyDescent="0.4">
      <c r="A2" s="1" t="s">
        <v>0</v>
      </c>
      <c r="B2" s="3" t="s">
        <v>28</v>
      </c>
    </row>
    <row r="5" spans="1:4" x14ac:dyDescent="0.25">
      <c r="B5" s="22" t="s">
        <v>29</v>
      </c>
      <c r="C5" s="23">
        <v>36</v>
      </c>
      <c r="D5" s="22"/>
    </row>
    <row r="6" spans="1:4" x14ac:dyDescent="0.25">
      <c r="B6" s="22" t="s">
        <v>30</v>
      </c>
      <c r="C6" s="23">
        <v>39</v>
      </c>
      <c r="D6" s="22"/>
    </row>
    <row r="7" spans="1:4" x14ac:dyDescent="0.25">
      <c r="B7" s="22" t="s">
        <v>31</v>
      </c>
      <c r="C7" s="24">
        <v>0.01</v>
      </c>
      <c r="D7" s="22"/>
    </row>
    <row r="8" spans="1:4" x14ac:dyDescent="0.25">
      <c r="B8" s="22" t="s">
        <v>32</v>
      </c>
      <c r="C8" s="23">
        <v>0.25</v>
      </c>
      <c r="D8" s="22"/>
    </row>
    <row r="9" spans="1:4" x14ac:dyDescent="0.25">
      <c r="B9" s="22" t="s">
        <v>33</v>
      </c>
      <c r="C9" s="22">
        <v>0.4</v>
      </c>
      <c r="D9" s="22"/>
    </row>
    <row r="13" spans="1:4" x14ac:dyDescent="0.25">
      <c r="A13" t="s">
        <v>69</v>
      </c>
      <c r="B13">
        <f>(LN(C5/C6)+(C7+0.5*C9^2)*C8)/(C9*SQRT(C8))</f>
        <v>-0.28771353836768182</v>
      </c>
      <c r="C13" t="s">
        <v>64</v>
      </c>
    </row>
    <row r="14" spans="1:4" x14ac:dyDescent="0.25">
      <c r="A14" t="s">
        <v>70</v>
      </c>
      <c r="B14">
        <f>B13-C9*SQRT(C8)</f>
        <v>-0.48771353836768183</v>
      </c>
      <c r="C14" t="s">
        <v>65</v>
      </c>
    </row>
    <row r="16" spans="1:4" x14ac:dyDescent="0.25">
      <c r="A16" t="s">
        <v>71</v>
      </c>
      <c r="B16">
        <f>NORMSDIST(B13)</f>
        <v>0.38678301295623452</v>
      </c>
      <c r="C16" t="s">
        <v>66</v>
      </c>
    </row>
    <row r="17" spans="1:6" x14ac:dyDescent="0.25">
      <c r="A17" t="s">
        <v>72</v>
      </c>
      <c r="B17">
        <f>NORMSDIST(B14)</f>
        <v>0.31287638046742594</v>
      </c>
    </row>
    <row r="18" spans="1:6" x14ac:dyDescent="0.25">
      <c r="C18" t="s">
        <v>67</v>
      </c>
    </row>
    <row r="19" spans="1:6" x14ac:dyDescent="0.25">
      <c r="A19" t="s">
        <v>73</v>
      </c>
      <c r="B19" s="36">
        <f>C5*B16-C6*EXP(-C7*C8)*B17</f>
        <v>1.7524769752381921</v>
      </c>
      <c r="C19" t="s">
        <v>68</v>
      </c>
    </row>
    <row r="20" spans="1:6" x14ac:dyDescent="0.25">
      <c r="A20" t="s">
        <v>74</v>
      </c>
      <c r="B20" s="36">
        <f>C6*EXP(-C7*C8)*NORMSDIST(-B14)-C5*NORMSDIST(-B13)</f>
        <v>4.6550987487391389</v>
      </c>
    </row>
    <row r="21" spans="1:6" x14ac:dyDescent="0.25">
      <c r="A21" t="s">
        <v>77</v>
      </c>
      <c r="B21" s="35">
        <f>B19+C6*EXP(-C7*C8)-C5</f>
        <v>4.6550987487391353</v>
      </c>
      <c r="D21" t="s">
        <v>75</v>
      </c>
      <c r="F21" t="s">
        <v>76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30"/>
  <sheetViews>
    <sheetView tabSelected="1" workbookViewId="0">
      <selection activeCell="E32" sqref="E32"/>
    </sheetView>
  </sheetViews>
  <sheetFormatPr defaultColWidth="11" defaultRowHeight="15.75" x14ac:dyDescent="0.25"/>
  <sheetData>
    <row r="2" spans="3:10" ht="26.25" x14ac:dyDescent="0.4">
      <c r="C2" s="3" t="s">
        <v>34</v>
      </c>
      <c r="D2" s="3"/>
      <c r="E2" s="3"/>
      <c r="F2" s="3"/>
      <c r="G2" s="3"/>
    </row>
    <row r="3" spans="3:10" ht="26.25" x14ac:dyDescent="0.4">
      <c r="C3" s="3" t="s">
        <v>35</v>
      </c>
      <c r="D3" s="3"/>
      <c r="E3" s="3"/>
      <c r="F3" s="3"/>
      <c r="G3" s="3"/>
    </row>
    <row r="7" spans="3:10" x14ac:dyDescent="0.25">
      <c r="C7" t="s">
        <v>3</v>
      </c>
      <c r="D7" s="25" t="s">
        <v>36</v>
      </c>
      <c r="E7" s="25" t="s">
        <v>37</v>
      </c>
      <c r="F7" s="25" t="s">
        <v>38</v>
      </c>
      <c r="G7" s="25" t="s">
        <v>39</v>
      </c>
      <c r="H7" s="25" t="s">
        <v>40</v>
      </c>
      <c r="J7" s="26" t="s">
        <v>41</v>
      </c>
    </row>
    <row r="8" spans="3:10" x14ac:dyDescent="0.25">
      <c r="C8" s="27">
        <v>1</v>
      </c>
      <c r="D8" s="28">
        <v>-0.35052160079107603</v>
      </c>
      <c r="E8" s="28">
        <v>-0.115427016808705</v>
      </c>
      <c r="F8" s="28">
        <v>-0.42461777897429298</v>
      </c>
      <c r="G8" s="28">
        <v>-0.21065474228275799</v>
      </c>
      <c r="H8" s="28">
        <v>-7.5849935190021395E-2</v>
      </c>
      <c r="I8" s="4"/>
      <c r="J8" s="28">
        <v>0.35601090686885672</v>
      </c>
    </row>
    <row r="9" spans="3:10" x14ac:dyDescent="0.25">
      <c r="C9" s="27">
        <v>2</v>
      </c>
      <c r="D9" s="28">
        <v>0.70830675279858402</v>
      </c>
      <c r="E9" s="28">
        <v>0.24715342989608</v>
      </c>
      <c r="F9" s="28">
        <v>0.37192829004866401</v>
      </c>
      <c r="G9" s="28">
        <v>0.22267034887787199</v>
      </c>
      <c r="H9" s="28">
        <v>2.13455594959647E-2</v>
      </c>
      <c r="I9" s="4"/>
      <c r="J9" s="28">
        <v>0.38451760218220532</v>
      </c>
    </row>
    <row r="10" spans="3:10" x14ac:dyDescent="0.25">
      <c r="C10" s="27">
        <v>3</v>
      </c>
      <c r="D10" s="28">
        <v>0.73292518344993896</v>
      </c>
      <c r="E10" s="28">
        <v>0.36650775703605598</v>
      </c>
      <c r="F10" s="28">
        <v>0.25497345150849698</v>
      </c>
      <c r="G10" s="28">
        <v>0.58149498554192203</v>
      </c>
      <c r="H10" s="28">
        <v>0.12759455739410899</v>
      </c>
      <c r="I10" s="4"/>
      <c r="J10" s="28">
        <v>1.8934076950922335E-2</v>
      </c>
    </row>
    <row r="11" spans="3:10" x14ac:dyDescent="0.25">
      <c r="C11" s="27">
        <v>4</v>
      </c>
      <c r="D11" s="28">
        <v>-0.20337089651647</v>
      </c>
      <c r="E11" s="28">
        <v>-0.42709310158538499</v>
      </c>
      <c r="F11" s="28">
        <v>-4.90054952988105E-2</v>
      </c>
      <c r="G11" s="28">
        <v>-9.3759251730965804E-2</v>
      </c>
      <c r="H11" s="28">
        <v>7.1203617980391404E-2</v>
      </c>
      <c r="I11" s="4"/>
      <c r="J11" s="28">
        <v>0.15584534501509462</v>
      </c>
    </row>
    <row r="12" spans="3:10" x14ac:dyDescent="0.25">
      <c r="C12" s="27">
        <v>5</v>
      </c>
      <c r="D12" s="28">
        <v>0.16631380830155101</v>
      </c>
      <c r="E12" s="28">
        <v>-4.5234656878249499E-2</v>
      </c>
      <c r="F12" s="28">
        <v>-5.7338276574772397E-2</v>
      </c>
      <c r="G12" s="28">
        <v>0.27508351398493902</v>
      </c>
      <c r="H12" s="28">
        <v>0.13721589992538899</v>
      </c>
      <c r="I12" s="4"/>
      <c r="J12" s="28">
        <v>8.7248121589520694E-2</v>
      </c>
    </row>
    <row r="13" spans="3:10" x14ac:dyDescent="0.25">
      <c r="C13" s="27">
        <v>6</v>
      </c>
      <c r="D13" s="28">
        <v>-0.265850708027982</v>
      </c>
      <c r="E13" s="28">
        <v>1.57745190040217E-2</v>
      </c>
      <c r="F13" s="28">
        <v>8.9837625190824999E-2</v>
      </c>
      <c r="G13" s="28">
        <v>7.9274090365131694E-2</v>
      </c>
      <c r="H13" s="28">
        <v>2.1504396084479498E-2</v>
      </c>
      <c r="I13" s="4"/>
      <c r="J13" s="28">
        <v>0.20697300347011111</v>
      </c>
    </row>
    <row r="14" spans="3:10" x14ac:dyDescent="0.25">
      <c r="C14" s="27">
        <v>7</v>
      </c>
      <c r="D14" s="28">
        <v>1.2405940163250299E-2</v>
      </c>
      <c r="E14" s="28">
        <v>0.47511879700069498</v>
      </c>
      <c r="F14" s="28">
        <v>0.33496535111442199</v>
      </c>
      <c r="G14" s="28">
        <v>-0.189433827683615</v>
      </c>
      <c r="H14" s="28">
        <v>0.200216810041323</v>
      </c>
      <c r="I14" s="4"/>
      <c r="J14" s="28">
        <v>-0.11211091708641829</v>
      </c>
    </row>
    <row r="15" spans="3:10" x14ac:dyDescent="0.25">
      <c r="C15" s="27">
        <v>8</v>
      </c>
      <c r="D15" s="28">
        <v>-2.6361052853487998E-2</v>
      </c>
      <c r="E15" s="28">
        <v>-0.20422512647182001</v>
      </c>
      <c r="F15" s="28">
        <v>-2.75483166378085E-2</v>
      </c>
      <c r="G15" s="28">
        <v>-0.74267659573606604</v>
      </c>
      <c r="H15" s="28">
        <v>9.1325844915122203E-2</v>
      </c>
      <c r="I15" s="4"/>
      <c r="J15" s="28">
        <v>0.23395561337997142</v>
      </c>
    </row>
    <row r="16" spans="3:10" x14ac:dyDescent="0.25">
      <c r="C16" s="27">
        <v>9</v>
      </c>
      <c r="D16" s="28">
        <v>1.0641987535145101</v>
      </c>
      <c r="E16" s="28">
        <v>-0.14927001874263299</v>
      </c>
      <c r="F16" s="28">
        <v>0.69682203601383796</v>
      </c>
      <c r="G16" s="28">
        <v>-0.26148626652978801</v>
      </c>
      <c r="H16" s="28">
        <v>0.22429342454962201</v>
      </c>
      <c r="I16" s="4"/>
      <c r="J16" s="28">
        <v>0.55495335346011909</v>
      </c>
    </row>
    <row r="17" spans="3:12" x14ac:dyDescent="0.25">
      <c r="C17" s="27">
        <v>10</v>
      </c>
      <c r="D17" s="28">
        <v>0.19421901141685899</v>
      </c>
      <c r="E17" s="28">
        <v>0.368040247274461</v>
      </c>
      <c r="F17" s="28">
        <v>0.31104887092647499</v>
      </c>
      <c r="G17" s="28">
        <v>1.86823240337963</v>
      </c>
      <c r="H17" s="28">
        <v>0.20660961824891599</v>
      </c>
      <c r="I17" s="4"/>
      <c r="J17" s="28">
        <v>0.39184721060561239</v>
      </c>
    </row>
    <row r="20" spans="3:12" x14ac:dyDescent="0.25">
      <c r="C20" t="s">
        <v>80</v>
      </c>
      <c r="D20" s="37">
        <f>AVERAGE(D8:D17)</f>
        <v>0.20322651914556772</v>
      </c>
      <c r="E20" s="37">
        <f t="shared" ref="E20:J20" si="0">AVERAGE(E8:E17)</f>
        <v>5.3134482972452116E-2</v>
      </c>
      <c r="F20" s="37">
        <f t="shared" si="0"/>
        <v>0.15010657573170366</v>
      </c>
      <c r="G20" s="37">
        <f t="shared" si="0"/>
        <v>0.15287446581863021</v>
      </c>
      <c r="H20" s="37">
        <f t="shared" si="0"/>
        <v>0.10254597934452954</v>
      </c>
      <c r="I20" s="37"/>
      <c r="J20" s="37">
        <f t="shared" si="0"/>
        <v>0.22781743164359955</v>
      </c>
      <c r="L20" t="s">
        <v>78</v>
      </c>
    </row>
    <row r="21" spans="3:12" x14ac:dyDescent="0.25">
      <c r="C21" t="s">
        <v>81</v>
      </c>
      <c r="D21">
        <f>SLOPE(D8:D17,$J$8:$J$17)</f>
        <v>0.7938014325744529</v>
      </c>
      <c r="E21">
        <f t="shared" ref="E21:J21" si="1">SLOPE(E8:E17,$J$8:$J$17)</f>
        <v>-0.46474327752350836</v>
      </c>
      <c r="F21">
        <f t="shared" si="1"/>
        <v>0.34838257166225378</v>
      </c>
      <c r="G21">
        <f t="shared" si="1"/>
        <v>0.37159175394702371</v>
      </c>
      <c r="H21">
        <f t="shared" si="1"/>
        <v>-5.042031301007549E-2</v>
      </c>
      <c r="J21">
        <f t="shared" si="1"/>
        <v>1</v>
      </c>
      <c r="L21" t="s">
        <v>79</v>
      </c>
    </row>
    <row r="22" spans="3:12" x14ac:dyDescent="0.25">
      <c r="L22" t="s">
        <v>86</v>
      </c>
    </row>
    <row r="24" spans="3:12" x14ac:dyDescent="0.25">
      <c r="C24" t="s">
        <v>82</v>
      </c>
    </row>
    <row r="26" spans="3:12" x14ac:dyDescent="0.25">
      <c r="C26" t="s">
        <v>83</v>
      </c>
      <c r="D26">
        <f>INTERCEPT(D20:H20,D21:H21)</f>
        <v>0.10855902551082669</v>
      </c>
    </row>
    <row r="27" spans="3:12" x14ac:dyDescent="0.25">
      <c r="C27" t="s">
        <v>84</v>
      </c>
      <c r="D27">
        <f>SLOPE(D20:H20,D21:H21)</f>
        <v>0.1192584061327729</v>
      </c>
    </row>
    <row r="28" spans="3:12" x14ac:dyDescent="0.25">
      <c r="C28" t="s">
        <v>85</v>
      </c>
      <c r="D28">
        <f>RSQ(D20:H20,D21:H21)</f>
        <v>0.99999999999999978</v>
      </c>
    </row>
    <row r="30" spans="3:12" x14ac:dyDescent="0.25">
      <c r="C30" t="s">
        <v>87</v>
      </c>
      <c r="D30">
        <f>D26+D27</f>
        <v>0.22781743164359958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exercise 1</vt:lpstr>
      <vt:lpstr>exercise 2</vt:lpstr>
      <vt:lpstr>exercise 3</vt:lpstr>
      <vt:lpstr>exercise 4</vt:lpstr>
      <vt:lpstr>exercise 5</vt:lpstr>
      <vt:lpstr>exercise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Caloia</dc:creator>
  <cp:lastModifiedBy>Informatica</cp:lastModifiedBy>
  <dcterms:created xsi:type="dcterms:W3CDTF">2016-05-06T13:29:32Z</dcterms:created>
  <dcterms:modified xsi:type="dcterms:W3CDTF">2016-05-09T13:29:44Z</dcterms:modified>
</cp:coreProperties>
</file>