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5600" windowHeight="11190" activeTab="7"/>
  </bookViews>
  <sheets>
    <sheet name="Foglio1" sheetId="1" r:id="rId1"/>
    <sheet name="7 marzo 2012" sheetId="2" r:id="rId2"/>
    <sheet name="8 marzo 2012" sheetId="4" r:id="rId3"/>
    <sheet name="prova" sheetId="5" r:id="rId4"/>
    <sheet name="04032013" sheetId="6" r:id="rId5"/>
    <sheet name="06032014" sheetId="8" r:id="rId6"/>
    <sheet name="12032014" sheetId="9" r:id="rId7"/>
    <sheet name="05032015" sheetId="10" r:id="rId8"/>
  </sheets>
  <calcPr calcId="145621"/>
</workbook>
</file>

<file path=xl/calcChain.xml><?xml version="1.0" encoding="utf-8"?>
<calcChain xmlns="http://schemas.openxmlformats.org/spreadsheetml/2006/main">
  <c r="N22" i="9" l="1"/>
  <c r="N9" i="9"/>
  <c r="S27" i="10"/>
  <c r="R27" i="10"/>
  <c r="Q27" i="10"/>
  <c r="P27" i="10"/>
  <c r="S29" i="10"/>
  <c r="S28" i="10"/>
  <c r="R28" i="10"/>
  <c r="Q29" i="10"/>
  <c r="Q28" i="10"/>
  <c r="P28" i="10"/>
  <c r="M18" i="10"/>
  <c r="M13" i="10"/>
  <c r="M5" i="10"/>
  <c r="O5" i="10"/>
  <c r="N5" i="10"/>
  <c r="N1" i="10"/>
  <c r="N4" i="10"/>
  <c r="M4" i="10" l="1"/>
  <c r="M22" i="10"/>
  <c r="M11" i="10" l="1"/>
  <c r="O11" i="10"/>
  <c r="N11" i="10"/>
  <c r="M23" i="10" l="1"/>
  <c r="M9" i="10"/>
  <c r="N5" i="9"/>
  <c r="Q16" i="10"/>
  <c r="M27" i="10"/>
  <c r="M39" i="10" s="1"/>
  <c r="O39" i="10" s="1"/>
  <c r="P39" i="10" s="1"/>
  <c r="Q6" i="10"/>
  <c r="O27" i="10" l="1"/>
  <c r="M10" i="10"/>
  <c r="M28" i="10"/>
  <c r="N13" i="9"/>
  <c r="N27" i="9" s="1"/>
  <c r="P41" i="9"/>
  <c r="P40" i="9"/>
  <c r="P39" i="9"/>
  <c r="R16" i="9"/>
  <c r="R6" i="9"/>
  <c r="N4" i="9"/>
  <c r="M40" i="10" l="1"/>
  <c r="O40" i="10" s="1"/>
  <c r="P40" i="10" s="1"/>
  <c r="O44" i="10" s="1"/>
  <c r="O28" i="10"/>
  <c r="N23" i="9"/>
  <c r="N10" i="9" s="1"/>
  <c r="N28" i="9"/>
  <c r="P27" i="9"/>
  <c r="S41" i="8"/>
  <c r="Q13" i="8"/>
  <c r="Q27" i="8" s="1"/>
  <c r="Q4" i="8"/>
  <c r="U16" i="8"/>
  <c r="U6" i="8"/>
  <c r="O32" i="10" l="1"/>
  <c r="Q41" i="9"/>
  <c r="Q40" i="9"/>
  <c r="Q39" i="9"/>
  <c r="Q44" i="9" s="1"/>
  <c r="P28" i="9"/>
  <c r="N29" i="9"/>
  <c r="P29" i="9" s="1"/>
  <c r="Q5" i="8"/>
  <c r="Q9" i="8"/>
  <c r="S27" i="8" s="1"/>
  <c r="Q22" i="8"/>
  <c r="Q23" i="8" s="1"/>
  <c r="Q10" i="8" s="1"/>
  <c r="S39" i="8"/>
  <c r="Q28" i="8"/>
  <c r="S40" i="8"/>
  <c r="Q29" i="8" l="1"/>
  <c r="S29" i="8" s="1"/>
  <c r="S28" i="8"/>
  <c r="T40" i="8"/>
  <c r="P32" i="9"/>
  <c r="T39" i="8"/>
  <c r="T41" i="8"/>
  <c r="Q13" i="6"/>
  <c r="S32" i="8" l="1"/>
  <c r="T44" i="8"/>
  <c r="Q39" i="6"/>
  <c r="Q27" i="6"/>
  <c r="Q5" i="6"/>
  <c r="U16" i="6"/>
  <c r="U6" i="6"/>
  <c r="R3" i="6"/>
  <c r="Q4" i="6" s="1"/>
  <c r="Q22" i="6" l="1"/>
  <c r="Q23" i="6" s="1"/>
  <c r="Q10" i="6" s="1"/>
  <c r="Q9" i="6"/>
  <c r="S27" i="6"/>
  <c r="Q28" i="6"/>
  <c r="B13" i="5"/>
  <c r="L21" i="5"/>
  <c r="L16" i="5"/>
  <c r="J18" i="5" s="1"/>
  <c r="F16" i="5"/>
  <c r="B27" i="5"/>
  <c r="F6" i="5"/>
  <c r="C3" i="5"/>
  <c r="B4" i="5" s="1"/>
  <c r="B9" i="5" s="1"/>
  <c r="S28" i="6" l="1"/>
  <c r="S32" i="6" s="1"/>
  <c r="Q35" i="6"/>
  <c r="J22" i="5"/>
  <c r="Q40" i="6"/>
  <c r="S40" i="6" s="1"/>
  <c r="T40" i="6" s="1"/>
  <c r="S39" i="6"/>
  <c r="T39" i="6" s="1"/>
  <c r="T44" i="6" s="1"/>
  <c r="B28" i="5"/>
  <c r="B35" i="5"/>
  <c r="D27" i="5"/>
  <c r="B10" i="5"/>
  <c r="B5" i="5"/>
  <c r="B22" i="5"/>
  <c r="B23" i="5" s="1"/>
  <c r="B13" i="1"/>
  <c r="B39" i="1" s="1"/>
  <c r="D39" i="1" l="1"/>
  <c r="B40" i="1"/>
  <c r="D40" i="1" s="1"/>
  <c r="B27" i="1"/>
  <c r="B28" i="1" s="1"/>
  <c r="D28" i="5"/>
  <c r="D32" i="5" s="1"/>
  <c r="L21" i="1"/>
  <c r="L16" i="1"/>
  <c r="F16" i="1"/>
  <c r="J18" i="1" l="1"/>
  <c r="J22" i="1" s="1"/>
  <c r="F6" i="1"/>
  <c r="C3" i="1"/>
  <c r="B4" i="1" s="1"/>
  <c r="B22" i="1" l="1"/>
  <c r="B23" i="1" s="1"/>
  <c r="B5" i="1"/>
  <c r="B9" i="1"/>
  <c r="D28" i="1" s="1"/>
  <c r="B35" i="1"/>
  <c r="B10" i="1"/>
  <c r="E39" i="1" l="1"/>
  <c r="E40" i="1"/>
  <c r="D27" i="1"/>
  <c r="D32" i="1" s="1"/>
  <c r="E44" i="1" l="1"/>
</calcChain>
</file>

<file path=xl/sharedStrings.xml><?xml version="1.0" encoding="utf-8"?>
<sst xmlns="http://schemas.openxmlformats.org/spreadsheetml/2006/main" count="102" uniqueCount="22">
  <si>
    <t>date formato anno mese giorno</t>
  </si>
  <si>
    <t>CALCOLI 8 MARZO 2012</t>
  </si>
  <si>
    <t>CALCOLI 7 MARZO 2012</t>
  </si>
  <si>
    <t>duration</t>
  </si>
  <si>
    <t>tir</t>
  </si>
  <si>
    <t>prezzo</t>
  </si>
  <si>
    <t>alpha</t>
  </si>
  <si>
    <t>Periodo</t>
  </si>
  <si>
    <t>Pagamento</t>
  </si>
  <si>
    <t>Duration</t>
  </si>
  <si>
    <t>duration con pagam regolari</t>
  </si>
  <si>
    <t>duration con pagam regolari+alpha</t>
  </si>
  <si>
    <t>convexity</t>
  </si>
  <si>
    <t>i^2+i</t>
  </si>
  <si>
    <t>duration con pagam regolari+alpha-1</t>
  </si>
  <si>
    <t>non si riesce a calcolare</t>
  </si>
  <si>
    <t>prezzo come va flussi cassa</t>
  </si>
  <si>
    <t>prezzo=valore attuale flussi cassa</t>
  </si>
  <si>
    <t>pesi</t>
  </si>
  <si>
    <t>scadenza*pesi</t>
  </si>
  <si>
    <t>k*(k+1)</t>
  </si>
  <si>
    <t>k*(k+1)*pesi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</si>
</sst>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€&quot;\ #,##0.00;[Red]\-&quot;€&quot;\ #,##0.00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0"/>
    <numFmt numFmtId="167" formatCode="0.0000000"/>
    <numFmt numFmtId="168" formatCode="0.000000000"/>
    <numFmt numFmtId="169" formatCode="0.000000000000"/>
    <numFmt numFmtId="170" formatCode="0.0000000000000"/>
    <numFmt numFmtId="171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14" fontId="0" fillId="0" borderId="0" xfId="0" applyNumberFormat="1"/>
    <xf numFmtId="2" fontId="0" fillId="0" borderId="0" xfId="0" applyNumberFormat="1"/>
    <xf numFmtId="14" fontId="0" fillId="0" borderId="1" xfId="0" applyNumberFormat="1" applyBorder="1"/>
    <xf numFmtId="14" fontId="0" fillId="0" borderId="2" xfId="0" applyNumberFormat="1" applyBorder="1"/>
    <xf numFmtId="14" fontId="0" fillId="0" borderId="3" xfId="0" applyNumberForma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14" fontId="0" fillId="0" borderId="4" xfId="0" applyNumberFormat="1" applyBorder="1"/>
    <xf numFmtId="14" fontId="0" fillId="0" borderId="0" xfId="0" applyNumberFormat="1" applyBorder="1"/>
    <xf numFmtId="1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ill="1" applyBorder="1"/>
    <xf numFmtId="0" fontId="0" fillId="2" borderId="7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68" fontId="0" fillId="3" borderId="8" xfId="0" applyNumberFormat="1" applyFill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0" fontId="0" fillId="2" borderId="6" xfId="0" applyFill="1" applyBorder="1"/>
    <xf numFmtId="166" fontId="0" fillId="0" borderId="0" xfId="0" applyNumberFormat="1" applyBorder="1" applyAlignment="1">
      <alignment horizontal="center"/>
    </xf>
    <xf numFmtId="0" fontId="0" fillId="0" borderId="3" xfId="0" applyBorder="1"/>
    <xf numFmtId="168" fontId="0" fillId="3" borderId="7" xfId="0" applyNumberFormat="1" applyFill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70" fontId="0" fillId="0" borderId="0" xfId="0" applyNumberFormat="1" applyBorder="1"/>
    <xf numFmtId="169" fontId="0" fillId="2" borderId="0" xfId="0" applyNumberFormat="1" applyFill="1" applyBorder="1"/>
    <xf numFmtId="0" fontId="0" fillId="0" borderId="5" xfId="0" applyFill="1" applyBorder="1"/>
    <xf numFmtId="14" fontId="0" fillId="0" borderId="9" xfId="0" applyNumberFormat="1" applyBorder="1"/>
    <xf numFmtId="14" fontId="0" fillId="0" borderId="10" xfId="0" applyNumberFormat="1" applyBorder="1"/>
    <xf numFmtId="0" fontId="0" fillId="0" borderId="11" xfId="0" applyBorder="1"/>
    <xf numFmtId="8" fontId="0" fillId="0" borderId="0" xfId="0" applyNumberFormat="1"/>
    <xf numFmtId="171" fontId="0" fillId="0" borderId="0" xfId="0" applyNumberFormat="1"/>
    <xf numFmtId="171" fontId="0" fillId="2" borderId="6" xfId="0" applyNumberFormat="1" applyFill="1" applyBorder="1"/>
    <xf numFmtId="0" fontId="0" fillId="2" borderId="0" xfId="0" applyFill="1"/>
    <xf numFmtId="170" fontId="0" fillId="4" borderId="0" xfId="0" applyNumberFormat="1" applyFill="1" applyBorder="1"/>
    <xf numFmtId="0" fontId="0" fillId="4" borderId="0" xfId="0" applyFill="1"/>
    <xf numFmtId="0" fontId="0" fillId="0" borderId="0" xfId="0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314324</xdr:colOff>
      <xdr:row>30</xdr:row>
      <xdr:rowOff>85724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00724" cy="5800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11</xdr:col>
      <xdr:colOff>76200</xdr:colOff>
      <xdr:row>36</xdr:row>
      <xdr:rowOff>114300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781800" cy="678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66674</xdr:colOff>
      <xdr:row>41</xdr:row>
      <xdr:rowOff>95249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91474" cy="799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11</xdr:col>
      <xdr:colOff>0</xdr:colOff>
      <xdr:row>35</xdr:row>
      <xdr:rowOff>171450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705600" cy="670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85724</xdr:colOff>
      <xdr:row>28</xdr:row>
      <xdr:rowOff>180974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72124" cy="5572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457200</xdr:colOff>
      <xdr:row>27</xdr:row>
      <xdr:rowOff>123825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34000" cy="533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B14" sqref="B14"/>
    </sheetView>
  </sheetViews>
  <sheetFormatPr defaultRowHeight="15" x14ac:dyDescent="0.25"/>
  <cols>
    <col min="1" max="1" width="21.42578125" customWidth="1"/>
    <col min="2" max="2" width="25.42578125" customWidth="1"/>
    <col min="3" max="3" width="10.7109375" bestFit="1" customWidth="1"/>
    <col min="4" max="4" width="11.5703125" bestFit="1" customWidth="1"/>
    <col min="5" max="6" width="10.7109375" bestFit="1" customWidth="1"/>
    <col min="8" max="8" width="13.28515625" customWidth="1"/>
    <col min="9" max="9" width="14" customWidth="1"/>
    <col min="10" max="10" width="10.7109375" bestFit="1" customWidth="1"/>
    <col min="11" max="11" width="11.85546875" customWidth="1"/>
    <col min="12" max="12" width="14.140625" customWidth="1"/>
  </cols>
  <sheetData>
    <row r="1" spans="1:12" ht="15.75" thickBot="1" x14ac:dyDescent="0.3">
      <c r="A1" t="s">
        <v>2</v>
      </c>
    </row>
    <row r="2" spans="1:12" x14ac:dyDescent="0.25">
      <c r="A2" s="3">
        <v>40963</v>
      </c>
      <c r="B2" s="4">
        <v>40977</v>
      </c>
      <c r="C2" s="4">
        <v>41347</v>
      </c>
      <c r="D2" s="5">
        <v>41712</v>
      </c>
    </row>
    <row r="3" spans="1:12" x14ac:dyDescent="0.25">
      <c r="A3" s="6"/>
      <c r="B3" s="7">
        <v>-100.1803</v>
      </c>
      <c r="C3" s="7">
        <f>100*0.0025</f>
        <v>0.25</v>
      </c>
      <c r="D3" s="8">
        <v>100.25</v>
      </c>
    </row>
    <row r="4" spans="1:12" x14ac:dyDescent="0.25">
      <c r="A4" s="6" t="s">
        <v>4</v>
      </c>
      <c r="B4" s="15">
        <f>XIRR(B3:D3,B2:D2)</f>
        <v>1.5854567289352417E-3</v>
      </c>
      <c r="C4" s="7"/>
      <c r="D4" s="8"/>
    </row>
    <row r="5" spans="1:12" x14ac:dyDescent="0.25">
      <c r="A5" s="6"/>
      <c r="B5" s="7">
        <f>XNPV(B4,B3:D3,B2:D2)</f>
        <v>5.0628656822482299E-7</v>
      </c>
      <c r="C5" s="7"/>
      <c r="D5" s="8"/>
      <c r="F5" t="s">
        <v>0</v>
      </c>
    </row>
    <row r="6" spans="1:12" x14ac:dyDescent="0.25">
      <c r="A6" s="6"/>
      <c r="B6" s="7"/>
      <c r="C6" s="7"/>
      <c r="D6" s="8"/>
      <c r="F6" s="2">
        <f>DATE(2012,3,7)</f>
        <v>40975</v>
      </c>
    </row>
    <row r="7" spans="1:12" x14ac:dyDescent="0.25">
      <c r="A7" s="9">
        <v>40963</v>
      </c>
      <c r="B7" s="10">
        <v>40977</v>
      </c>
      <c r="C7" s="10">
        <v>41347</v>
      </c>
      <c r="D7" s="11">
        <v>41712</v>
      </c>
    </row>
    <row r="8" spans="1:12" x14ac:dyDescent="0.25">
      <c r="A8" s="6"/>
      <c r="B8" s="7">
        <v>0</v>
      </c>
      <c r="C8" s="7">
        <v>0.25</v>
      </c>
      <c r="D8" s="8">
        <v>100.25</v>
      </c>
    </row>
    <row r="9" spans="1:12" x14ac:dyDescent="0.25">
      <c r="A9" s="6" t="s">
        <v>5</v>
      </c>
      <c r="B9" s="15">
        <f>XNPV(B4,B8:D8,B7:D7)</f>
        <v>100.18030050628657</v>
      </c>
      <c r="C9" s="7"/>
      <c r="D9" s="8"/>
    </row>
    <row r="10" spans="1:12" ht="15.75" thickBot="1" x14ac:dyDescent="0.3">
      <c r="A10" s="12" t="s">
        <v>3</v>
      </c>
      <c r="B10" s="16">
        <f>DURATION(B7,D7,C8%,B4,1)</f>
        <v>2.0064251251375094</v>
      </c>
      <c r="C10" s="13"/>
      <c r="D10" s="14"/>
    </row>
    <row r="13" spans="1:12" x14ac:dyDescent="0.25">
      <c r="A13" t="s">
        <v>6</v>
      </c>
      <c r="B13">
        <f>5/360</f>
        <v>1.3888888888888888E-2</v>
      </c>
    </row>
    <row r="14" spans="1:12" ht="15.75" thickBot="1" x14ac:dyDescent="0.3">
      <c r="J14" t="s">
        <v>1</v>
      </c>
    </row>
    <row r="15" spans="1:12" x14ac:dyDescent="0.25">
      <c r="D15" s="1">
        <v>40977</v>
      </c>
      <c r="E15" s="1">
        <v>41347</v>
      </c>
      <c r="F15" s="1">
        <v>41712</v>
      </c>
      <c r="J15" s="3">
        <v>40980</v>
      </c>
      <c r="K15" s="4">
        <v>41347</v>
      </c>
      <c r="L15" s="5">
        <v>41712</v>
      </c>
    </row>
    <row r="16" spans="1:12" x14ac:dyDescent="0.25">
      <c r="D16">
        <v>-100.1803</v>
      </c>
      <c r="E16">
        <v>0.25</v>
      </c>
      <c r="F16">
        <f>100+0.25</f>
        <v>100.25</v>
      </c>
      <c r="J16" s="6">
        <v>-100.21299999999999</v>
      </c>
      <c r="K16" s="7">
        <v>0.25</v>
      </c>
      <c r="L16" s="8">
        <f>100+0.25</f>
        <v>100.25</v>
      </c>
    </row>
    <row r="17" spans="1:12" x14ac:dyDescent="0.25">
      <c r="J17" s="6"/>
      <c r="K17" s="7"/>
      <c r="L17" s="8"/>
    </row>
    <row r="18" spans="1:12" x14ac:dyDescent="0.25">
      <c r="J18" s="6">
        <f>XIRR(J16:L16,J15:L15)</f>
        <v>1.4287859201431274E-3</v>
      </c>
      <c r="K18" s="7"/>
      <c r="L18" s="8"/>
    </row>
    <row r="19" spans="1:12" ht="15.75" thickBot="1" x14ac:dyDescent="0.3">
      <c r="J19" s="6"/>
      <c r="K19" s="7"/>
      <c r="L19" s="8"/>
    </row>
    <row r="20" spans="1:12" x14ac:dyDescent="0.25">
      <c r="A20" s="1"/>
      <c r="B20" s="3">
        <v>40982</v>
      </c>
      <c r="C20" s="4">
        <v>41347</v>
      </c>
      <c r="D20" s="5">
        <v>41712</v>
      </c>
      <c r="J20" s="9">
        <v>40980</v>
      </c>
      <c r="K20" s="10">
        <v>41347</v>
      </c>
      <c r="L20" s="11">
        <v>41712</v>
      </c>
    </row>
    <row r="21" spans="1:12" x14ac:dyDescent="0.25">
      <c r="B21" s="6"/>
      <c r="C21" s="7"/>
      <c r="D21" s="8"/>
      <c r="J21" s="6">
        <v>0</v>
      </c>
      <c r="K21" s="7">
        <v>0.25</v>
      </c>
      <c r="L21" s="8">
        <f>100+0.25</f>
        <v>100.25</v>
      </c>
    </row>
    <row r="22" spans="1:12" x14ac:dyDescent="0.25">
      <c r="A22" s="6"/>
      <c r="B22" s="6">
        <f>DURATION(B20,D20,0.25%,B4,1)</f>
        <v>1.9975085037150015</v>
      </c>
      <c r="C22" s="7" t="s">
        <v>10</v>
      </c>
      <c r="D22" s="8"/>
      <c r="J22" s="6">
        <f>XNPV(J18,J21:L21,J20:L20)</f>
        <v>100.21300052137535</v>
      </c>
      <c r="K22" s="7"/>
      <c r="L22" s="8"/>
    </row>
    <row r="23" spans="1:12" ht="15.75" thickBot="1" x14ac:dyDescent="0.3">
      <c r="B23" s="27">
        <f>B22+B13</f>
        <v>2.0113973926038904</v>
      </c>
      <c r="C23" s="13" t="s">
        <v>11</v>
      </c>
      <c r="D23" s="14"/>
      <c r="J23" s="12"/>
      <c r="K23" s="13"/>
      <c r="L23" s="14"/>
    </row>
    <row r="25" spans="1:12" ht="15.75" thickBot="1" x14ac:dyDescent="0.3"/>
    <row r="26" spans="1:12" x14ac:dyDescent="0.25">
      <c r="B26" s="17" t="s">
        <v>7</v>
      </c>
      <c r="C26" s="18" t="s">
        <v>8</v>
      </c>
      <c r="D26" s="19"/>
    </row>
    <row r="27" spans="1:12" x14ac:dyDescent="0.25">
      <c r="B27" s="20">
        <f>1+B13</f>
        <v>1.0138888888888888</v>
      </c>
      <c r="C27" s="21">
        <v>0.25</v>
      </c>
      <c r="D27" s="22">
        <f>(C27*B27)/(1+$B$4)^B27/$B$9</f>
        <v>2.5260996386807675E-3</v>
      </c>
    </row>
    <row r="28" spans="1:12" x14ac:dyDescent="0.25">
      <c r="B28" s="20">
        <f>B27+1</f>
        <v>2.0138888888888888</v>
      </c>
      <c r="C28" s="21">
        <v>100.25</v>
      </c>
      <c r="D28" s="22">
        <f>(C28*B28)/(1+$B$4)^B28/$B$9</f>
        <v>2.0088706867137405</v>
      </c>
    </row>
    <row r="29" spans="1:12" x14ac:dyDescent="0.25">
      <c r="B29" s="20"/>
      <c r="C29" s="23"/>
      <c r="D29" s="22"/>
    </row>
    <row r="30" spans="1:12" x14ac:dyDescent="0.25">
      <c r="B30" s="20"/>
      <c r="C30" s="23"/>
      <c r="D30" s="22"/>
    </row>
    <row r="31" spans="1:12" x14ac:dyDescent="0.25">
      <c r="B31" s="20"/>
      <c r="C31" s="23"/>
      <c r="D31" s="22"/>
    </row>
    <row r="32" spans="1:12" ht="15.75" thickBot="1" x14ac:dyDescent="0.3">
      <c r="B32" s="24" t="s">
        <v>9</v>
      </c>
      <c r="C32" s="13"/>
      <c r="D32" s="25">
        <f>SUM(D27:D31)</f>
        <v>2.0113967863524214</v>
      </c>
    </row>
    <row r="35" spans="1:5" x14ac:dyDescent="0.25">
      <c r="A35" t="s">
        <v>5</v>
      </c>
      <c r="B35">
        <f>C27*(1+B4)^-B27+C28*(1+B4)^-B28</f>
        <v>100.1802703111324</v>
      </c>
    </row>
    <row r="37" spans="1:5" ht="15.75" thickBot="1" x14ac:dyDescent="0.3"/>
    <row r="38" spans="1:5" x14ac:dyDescent="0.25">
      <c r="A38" t="s">
        <v>12</v>
      </c>
      <c r="B38" s="17" t="s">
        <v>7</v>
      </c>
      <c r="C38" s="18" t="s">
        <v>8</v>
      </c>
      <c r="D38" s="18" t="s">
        <v>13</v>
      </c>
      <c r="E38" s="29"/>
    </row>
    <row r="39" spans="1:5" x14ac:dyDescent="0.25">
      <c r="B39" s="31">
        <f>1+B13</f>
        <v>1.0138888888888888</v>
      </c>
      <c r="C39" s="21">
        <v>0.25</v>
      </c>
      <c r="D39" s="28">
        <f>B39^2+B39</f>
        <v>2.0418595679012341</v>
      </c>
      <c r="E39" s="8">
        <f>D39*C39/((1+$B$4)^B39*$B$9)</f>
        <v>5.0872839945654341E-3</v>
      </c>
    </row>
    <row r="40" spans="1:5" x14ac:dyDescent="0.25">
      <c r="B40" s="31">
        <f>B39+1</f>
        <v>2.0138888888888888</v>
      </c>
      <c r="C40" s="21">
        <v>100.25</v>
      </c>
      <c r="D40" s="28">
        <f>B40^2+B40</f>
        <v>6.0696373456790127</v>
      </c>
      <c r="E40" s="8">
        <f>D40*C40/((1+$B$4)^B40*$B$9)</f>
        <v>6.0545130419011342</v>
      </c>
    </row>
    <row r="41" spans="1:5" x14ac:dyDescent="0.25">
      <c r="B41" s="20"/>
      <c r="C41" s="23"/>
      <c r="D41" s="28"/>
      <c r="E41" s="8"/>
    </row>
    <row r="42" spans="1:5" x14ac:dyDescent="0.25">
      <c r="B42" s="20"/>
      <c r="C42" s="23"/>
      <c r="D42" s="28"/>
      <c r="E42" s="8"/>
    </row>
    <row r="43" spans="1:5" x14ac:dyDescent="0.25">
      <c r="B43" s="20"/>
      <c r="C43" s="23"/>
      <c r="D43" s="28"/>
      <c r="E43" s="8"/>
    </row>
    <row r="44" spans="1:5" ht="15.75" thickBot="1" x14ac:dyDescent="0.3">
      <c r="B44" s="24" t="s">
        <v>12</v>
      </c>
      <c r="C44" s="13"/>
      <c r="D44" s="30"/>
      <c r="E44" s="14">
        <f>E39+E40</f>
        <v>6.0596003258956994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0" sqref="N1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5" sqref="B4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C17" sqref="C17"/>
    </sheetView>
  </sheetViews>
  <sheetFormatPr defaultRowHeight="15" x14ac:dyDescent="0.25"/>
  <cols>
    <col min="1" max="1" width="21.42578125" customWidth="1"/>
    <col min="2" max="2" width="25.42578125" customWidth="1"/>
    <col min="3" max="3" width="10.7109375" bestFit="1" customWidth="1"/>
    <col min="4" max="4" width="11.5703125" bestFit="1" customWidth="1"/>
    <col min="5" max="6" width="10.7109375" bestFit="1" customWidth="1"/>
    <col min="8" max="8" width="13.28515625" customWidth="1"/>
    <col min="9" max="9" width="14" customWidth="1"/>
    <col min="10" max="10" width="10.7109375" bestFit="1" customWidth="1"/>
    <col min="11" max="11" width="11.85546875" customWidth="1"/>
    <col min="12" max="12" width="14.140625" customWidth="1"/>
  </cols>
  <sheetData>
    <row r="1" spans="1:12" ht="15.75" thickBot="1" x14ac:dyDescent="0.3">
      <c r="A1" t="s">
        <v>2</v>
      </c>
    </row>
    <row r="2" spans="1:12" x14ac:dyDescent="0.25">
      <c r="A2" s="3">
        <v>40963</v>
      </c>
      <c r="B2" s="4">
        <v>40974</v>
      </c>
      <c r="C2" s="4">
        <v>41347</v>
      </c>
      <c r="D2" s="5">
        <v>41712</v>
      </c>
    </row>
    <row r="3" spans="1:12" x14ac:dyDescent="0.25">
      <c r="A3" s="6"/>
      <c r="B3" s="7">
        <v>-100.1803</v>
      </c>
      <c r="C3" s="7">
        <f>100*0.0025</f>
        <v>0.25</v>
      </c>
      <c r="D3" s="8">
        <v>100.25</v>
      </c>
    </row>
    <row r="4" spans="1:12" x14ac:dyDescent="0.25">
      <c r="A4" s="6" t="s">
        <v>4</v>
      </c>
      <c r="B4" s="15">
        <f>XIRR(B3:D3,B2:D2)</f>
        <v>1.5790015459060667E-3</v>
      </c>
      <c r="C4" s="7"/>
      <c r="D4" s="8"/>
    </row>
    <row r="5" spans="1:12" x14ac:dyDescent="0.25">
      <c r="A5" s="6"/>
      <c r="B5" s="7">
        <f>XNPV(B4,B3:D3,B2:D2)</f>
        <v>-6.0575331417567213E-8</v>
      </c>
      <c r="C5" s="7"/>
      <c r="D5" s="8"/>
      <c r="F5" t="s">
        <v>0</v>
      </c>
    </row>
    <row r="6" spans="1:12" x14ac:dyDescent="0.25">
      <c r="A6" s="6"/>
      <c r="B6" s="7"/>
      <c r="C6" s="7"/>
      <c r="D6" s="8"/>
      <c r="F6" s="2">
        <f>DATE(2012,3,7)</f>
        <v>40975</v>
      </c>
    </row>
    <row r="7" spans="1:12" x14ac:dyDescent="0.25">
      <c r="A7" s="6">
        <v>40963</v>
      </c>
      <c r="B7" s="7">
        <v>40974</v>
      </c>
      <c r="C7" s="7">
        <v>41347</v>
      </c>
      <c r="D7" s="8">
        <v>41712</v>
      </c>
    </row>
    <row r="8" spans="1:12" x14ac:dyDescent="0.25">
      <c r="A8" s="6"/>
      <c r="B8" s="7">
        <v>0</v>
      </c>
      <c r="C8" s="7">
        <v>0.25</v>
      </c>
      <c r="D8" s="8">
        <v>100.25</v>
      </c>
    </row>
    <row r="9" spans="1:12" x14ac:dyDescent="0.25">
      <c r="A9" s="6" t="s">
        <v>5</v>
      </c>
      <c r="B9" s="15">
        <f>XNPV(B4,B8:D8,B7:D7)</f>
        <v>100.18029993942467</v>
      </c>
      <c r="C9" s="7"/>
      <c r="D9" s="8"/>
    </row>
    <row r="10" spans="1:12" ht="15.75" thickBot="1" x14ac:dyDescent="0.3">
      <c r="A10" s="12" t="s">
        <v>3</v>
      </c>
      <c r="B10" s="16">
        <f>DURATION(B7,D7,C8%,B4,1)</f>
        <v>2.0147585383013609</v>
      </c>
      <c r="C10" s="13"/>
      <c r="D10" s="14"/>
    </row>
    <row r="13" spans="1:12" x14ac:dyDescent="0.25">
      <c r="A13" t="s">
        <v>6</v>
      </c>
      <c r="B13">
        <f>8/360</f>
        <v>2.2222222222222223E-2</v>
      </c>
    </row>
    <row r="14" spans="1:12" ht="15.75" thickBot="1" x14ac:dyDescent="0.3">
      <c r="J14" t="s">
        <v>1</v>
      </c>
    </row>
    <row r="15" spans="1:12" x14ac:dyDescent="0.25">
      <c r="D15" s="1">
        <v>40975</v>
      </c>
      <c r="E15" s="1">
        <v>41347</v>
      </c>
      <c r="F15" s="1">
        <v>41712</v>
      </c>
      <c r="J15" s="3">
        <v>40980</v>
      </c>
      <c r="K15" s="4">
        <v>41347</v>
      </c>
      <c r="L15" s="5">
        <v>41712</v>
      </c>
    </row>
    <row r="16" spans="1:12" x14ac:dyDescent="0.25">
      <c r="D16">
        <v>-100.1803</v>
      </c>
      <c r="E16">
        <v>0.25</v>
      </c>
      <c r="F16">
        <f>100+0.25</f>
        <v>100.25</v>
      </c>
      <c r="J16" s="6">
        <v>-100.21299999999999</v>
      </c>
      <c r="K16" s="7">
        <v>0.25</v>
      </c>
      <c r="L16" s="8">
        <f>100+0.25</f>
        <v>100.25</v>
      </c>
    </row>
    <row r="17" spans="2:12" x14ac:dyDescent="0.25">
      <c r="J17" s="6"/>
      <c r="K17" s="7"/>
      <c r="L17" s="8"/>
    </row>
    <row r="18" spans="2:12" x14ac:dyDescent="0.25">
      <c r="J18" s="6">
        <f>XIRR(J16:L16,J15:L15)</f>
        <v>1.4287859201431274E-3</v>
      </c>
      <c r="K18" s="7"/>
      <c r="L18" s="8"/>
    </row>
    <row r="19" spans="2:12" ht="15.75" thickBot="1" x14ac:dyDescent="0.3">
      <c r="J19" s="6"/>
      <c r="K19" s="7"/>
      <c r="L19" s="8"/>
    </row>
    <row r="20" spans="2:12" x14ac:dyDescent="0.25">
      <c r="B20" s="3">
        <v>40982</v>
      </c>
      <c r="C20" s="4">
        <v>41347</v>
      </c>
      <c r="D20" s="5">
        <v>41712</v>
      </c>
      <c r="J20" s="9">
        <v>40980</v>
      </c>
      <c r="K20" s="10">
        <v>41347</v>
      </c>
      <c r="L20" s="11">
        <v>41712</v>
      </c>
    </row>
    <row r="21" spans="2:12" x14ac:dyDescent="0.25">
      <c r="B21" s="6"/>
      <c r="C21" s="7"/>
      <c r="D21" s="8"/>
      <c r="J21" s="6">
        <v>0</v>
      </c>
      <c r="K21" s="7">
        <v>0.25</v>
      </c>
      <c r="L21" s="8">
        <f>100+0.25</f>
        <v>100.25</v>
      </c>
    </row>
    <row r="22" spans="2:12" x14ac:dyDescent="0.25">
      <c r="B22" s="6">
        <f>DURATION(B20,D20,0.25%,B4,1)</f>
        <v>1.9975085197326001</v>
      </c>
      <c r="C22" s="7" t="s">
        <v>10</v>
      </c>
      <c r="D22" s="8"/>
      <c r="J22" s="6">
        <f>XNPV(J18,J21:L21,J20:L20)</f>
        <v>100.21300052137535</v>
      </c>
      <c r="K22" s="7"/>
      <c r="L22" s="8"/>
    </row>
    <row r="23" spans="2:12" ht="15.75" thickBot="1" x14ac:dyDescent="0.3">
      <c r="B23" s="12">
        <f>B22+B13</f>
        <v>2.0197307419548225</v>
      </c>
      <c r="C23" s="13" t="s">
        <v>11</v>
      </c>
      <c r="D23" s="14"/>
      <c r="J23" s="12"/>
      <c r="K23" s="13"/>
      <c r="L23" s="14"/>
    </row>
    <row r="25" spans="2:12" ht="15.75" thickBot="1" x14ac:dyDescent="0.3"/>
    <row r="26" spans="2:12" x14ac:dyDescent="0.25">
      <c r="B26" s="17" t="s">
        <v>7</v>
      </c>
      <c r="C26" s="18" t="s">
        <v>8</v>
      </c>
      <c r="D26" s="19"/>
      <c r="G26" s="17"/>
      <c r="H26" s="18"/>
      <c r="I26" s="19"/>
    </row>
    <row r="27" spans="2:12" x14ac:dyDescent="0.25">
      <c r="B27" s="20">
        <f>1+B13</f>
        <v>1.0222222222222221</v>
      </c>
      <c r="C27" s="21">
        <v>0.25</v>
      </c>
      <c r="D27" s="22">
        <f>(C27*B27)/(1+$B$4)^B27/$B$9</f>
        <v>2.5468452723368335E-3</v>
      </c>
      <c r="G27" s="20"/>
      <c r="H27" s="21"/>
      <c r="I27" s="26"/>
    </row>
    <row r="28" spans="2:12" x14ac:dyDescent="0.25">
      <c r="B28" s="20">
        <f>B27+1</f>
        <v>2.0222222222222221</v>
      </c>
      <c r="C28" s="21">
        <v>100.25</v>
      </c>
      <c r="D28" s="22">
        <f>(C28*B28)/(1+$B$4)^B28/$B$9</f>
        <v>2.0171829266240371</v>
      </c>
      <c r="G28" s="20"/>
      <c r="H28" s="21"/>
      <c r="I28" s="22"/>
    </row>
    <row r="29" spans="2:12" x14ac:dyDescent="0.25">
      <c r="B29" s="20"/>
      <c r="C29" s="23"/>
      <c r="D29" s="22"/>
      <c r="G29" s="20"/>
      <c r="H29" s="21"/>
      <c r="I29" s="22"/>
    </row>
    <row r="30" spans="2:12" x14ac:dyDescent="0.25">
      <c r="B30" s="20"/>
      <c r="C30" s="23"/>
      <c r="D30" s="22"/>
      <c r="G30" s="20"/>
      <c r="H30" s="23"/>
      <c r="I30" s="22"/>
    </row>
    <row r="31" spans="2:12" x14ac:dyDescent="0.25">
      <c r="B31" s="20"/>
      <c r="C31" s="23"/>
      <c r="D31" s="22"/>
      <c r="G31" s="20"/>
      <c r="H31" s="23"/>
      <c r="I31" s="22"/>
    </row>
    <row r="32" spans="2:12" ht="15.75" thickBot="1" x14ac:dyDescent="0.3">
      <c r="B32" s="24" t="s">
        <v>9</v>
      </c>
      <c r="C32" s="13"/>
      <c r="D32" s="25">
        <f>SUM(D27:D31)</f>
        <v>2.0197297718963738</v>
      </c>
      <c r="G32" s="24"/>
      <c r="H32" s="13"/>
      <c r="I32" s="25"/>
    </row>
    <row r="35" spans="1:2" x14ac:dyDescent="0.25">
      <c r="A35" t="s">
        <v>5</v>
      </c>
      <c r="B35">
        <f>C27*(1+B4)^-B27+C28*(1+B4)^-B28</f>
        <v>100.18025182373069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U44"/>
  <sheetViews>
    <sheetView topLeftCell="C1" workbookViewId="0">
      <selection activeCell="P1" sqref="P1:W1048576"/>
    </sheetView>
  </sheetViews>
  <sheetFormatPr defaultRowHeight="15" x14ac:dyDescent="0.25"/>
  <cols>
    <col min="16" max="16" width="21.5703125" bestFit="1" customWidth="1"/>
    <col min="17" max="17" width="19" customWidth="1"/>
    <col min="18" max="18" width="32.28515625" bestFit="1" customWidth="1"/>
    <col min="19" max="19" width="18.140625" customWidth="1"/>
    <col min="20" max="20" width="11.85546875" customWidth="1"/>
    <col min="21" max="21" width="12" customWidth="1"/>
  </cols>
  <sheetData>
    <row r="1" spans="16:21" ht="15.75" thickBot="1" x14ac:dyDescent="0.3"/>
    <row r="2" spans="16:21" x14ac:dyDescent="0.25">
      <c r="P2" s="3">
        <v>40963</v>
      </c>
      <c r="Q2" s="4">
        <v>41337</v>
      </c>
      <c r="R2" s="4">
        <v>41347</v>
      </c>
      <c r="S2" s="5">
        <v>41712</v>
      </c>
    </row>
    <row r="3" spans="16:21" x14ac:dyDescent="0.25">
      <c r="P3" s="6"/>
      <c r="Q3" s="7">
        <v>-100.4975</v>
      </c>
      <c r="R3" s="7">
        <f>100*0.0025</f>
        <v>0.25</v>
      </c>
      <c r="S3" s="8">
        <v>100.25</v>
      </c>
    </row>
    <row r="4" spans="16:21" x14ac:dyDescent="0.25">
      <c r="P4" s="6" t="s">
        <v>4</v>
      </c>
      <c r="Q4" s="33">
        <f>XIRR(Q3:S3,Q2:S2)</f>
        <v>2.4273991584777835E-5</v>
      </c>
      <c r="R4" s="7"/>
      <c r="S4" s="8"/>
    </row>
    <row r="5" spans="16:21" x14ac:dyDescent="0.25">
      <c r="P5" s="6"/>
      <c r="Q5" s="32">
        <f>XNPV(Q4,Q3:S3,Q2:S2)</f>
        <v>-2.4274309851080034E-7</v>
      </c>
      <c r="R5" s="7"/>
      <c r="S5" s="8"/>
      <c r="U5" t="s">
        <v>0</v>
      </c>
    </row>
    <row r="6" spans="16:21" ht="15.75" thickBot="1" x14ac:dyDescent="0.3">
      <c r="P6" s="6"/>
      <c r="Q6" s="7"/>
      <c r="R6" s="7"/>
      <c r="S6" s="8"/>
      <c r="U6" s="2">
        <f>DATE(2012,3,7)</f>
        <v>40975</v>
      </c>
    </row>
    <row r="7" spans="16:21" x14ac:dyDescent="0.25">
      <c r="P7" s="9">
        <v>40963</v>
      </c>
      <c r="Q7" s="4">
        <v>41337</v>
      </c>
      <c r="R7" s="10">
        <v>41347</v>
      </c>
      <c r="S7" s="11">
        <v>41712</v>
      </c>
    </row>
    <row r="8" spans="16:21" x14ac:dyDescent="0.25">
      <c r="P8" s="6"/>
      <c r="Q8" s="7">
        <v>0</v>
      </c>
      <c r="R8" s="7">
        <v>0.25</v>
      </c>
      <c r="S8" s="8">
        <v>100.25</v>
      </c>
    </row>
    <row r="9" spans="16:21" x14ac:dyDescent="0.25">
      <c r="P9" s="6" t="s">
        <v>5</v>
      </c>
      <c r="Q9" s="15">
        <f>XNPV(Q4,Q8:S8,Q7:S7)</f>
        <v>100.4974997572569</v>
      </c>
      <c r="R9" s="7"/>
      <c r="S9" s="8"/>
    </row>
    <row r="10" spans="16:21" ht="15.75" thickBot="1" x14ac:dyDescent="0.3">
      <c r="P10" s="12" t="s">
        <v>3</v>
      </c>
      <c r="Q10" s="16">
        <f>Q23</f>
        <v>1.0252901553558695</v>
      </c>
      <c r="R10" s="13"/>
      <c r="S10" s="14"/>
    </row>
    <row r="13" spans="16:21" x14ac:dyDescent="0.25">
      <c r="P13" t="s">
        <v>6</v>
      </c>
      <c r="Q13">
        <f>10/360</f>
        <v>2.7777777777777776E-2</v>
      </c>
    </row>
    <row r="14" spans="16:21" ht="15.75" thickBot="1" x14ac:dyDescent="0.3"/>
    <row r="15" spans="16:21" x14ac:dyDescent="0.25">
      <c r="S15" s="4">
        <v>41337</v>
      </c>
      <c r="T15" s="1">
        <v>41347</v>
      </c>
      <c r="U15" s="1">
        <v>41712</v>
      </c>
    </row>
    <row r="16" spans="16:21" x14ac:dyDescent="0.25">
      <c r="S16" s="7">
        <v>-100.4975</v>
      </c>
      <c r="T16">
        <v>0.25</v>
      </c>
      <c r="U16">
        <f>100+0.25</f>
        <v>100.25</v>
      </c>
    </row>
    <row r="19" spans="16:19" ht="15.75" thickBot="1" x14ac:dyDescent="0.3"/>
    <row r="20" spans="16:19" x14ac:dyDescent="0.25">
      <c r="P20" s="1"/>
      <c r="Q20" s="4">
        <v>40982</v>
      </c>
      <c r="R20" s="4">
        <v>41347</v>
      </c>
      <c r="S20" s="5">
        <v>41712</v>
      </c>
    </row>
    <row r="21" spans="16:19" x14ac:dyDescent="0.25">
      <c r="Q21" s="6"/>
      <c r="R21" s="7"/>
      <c r="S21" s="8"/>
    </row>
    <row r="22" spans="16:19" x14ac:dyDescent="0.25">
      <c r="P22" s="6"/>
      <c r="Q22" s="6">
        <f>DURATION(Q20,S20,0.25%,Q4,1)</f>
        <v>1.9975123775780919</v>
      </c>
      <c r="R22" s="7" t="s">
        <v>10</v>
      </c>
      <c r="S22" s="8"/>
    </row>
    <row r="23" spans="16:19" ht="15.75" thickBot="1" x14ac:dyDescent="0.3">
      <c r="Q23" s="27">
        <f>Q22+Q13-1</f>
        <v>1.0252901553558695</v>
      </c>
      <c r="R23" s="13" t="s">
        <v>14</v>
      </c>
      <c r="S23" s="14"/>
    </row>
    <row r="25" spans="16:19" ht="15.75" thickBot="1" x14ac:dyDescent="0.3"/>
    <row r="26" spans="16:19" x14ac:dyDescent="0.25">
      <c r="Q26" s="17" t="s">
        <v>7</v>
      </c>
      <c r="R26" s="18" t="s">
        <v>8</v>
      </c>
      <c r="S26" s="19"/>
    </row>
    <row r="27" spans="16:19" x14ac:dyDescent="0.25">
      <c r="Q27" s="20">
        <f>Q13</f>
        <v>2.7777777777777776E-2</v>
      </c>
      <c r="R27" s="21">
        <v>0.25</v>
      </c>
      <c r="S27" s="22">
        <f>(R27*Q27)/(1+Q4)^Q27/Q9</f>
        <v>6.9100622192528252E-5</v>
      </c>
    </row>
    <row r="28" spans="16:19" x14ac:dyDescent="0.25">
      <c r="Q28" s="20">
        <f>Q27+1</f>
        <v>1.0277777777777777</v>
      </c>
      <c r="R28" s="21">
        <v>100.25</v>
      </c>
      <c r="S28" s="22">
        <f>(R28*Q28)/(1+Q4)^Q28/Q9</f>
        <v>1.0252210452635162</v>
      </c>
    </row>
    <row r="29" spans="16:19" x14ac:dyDescent="0.25">
      <c r="Q29" s="20"/>
      <c r="R29" s="23"/>
      <c r="S29" s="22"/>
    </row>
    <row r="30" spans="16:19" x14ac:dyDescent="0.25">
      <c r="Q30" s="20"/>
      <c r="R30" s="23"/>
      <c r="S30" s="22"/>
    </row>
    <row r="31" spans="16:19" x14ac:dyDescent="0.25">
      <c r="Q31" s="20"/>
      <c r="R31" s="23"/>
      <c r="S31" s="22"/>
    </row>
    <row r="32" spans="16:19" ht="15.75" thickBot="1" x14ac:dyDescent="0.3">
      <c r="Q32" s="24" t="s">
        <v>9</v>
      </c>
      <c r="R32" s="13"/>
      <c r="S32" s="25">
        <f>SUM(S27:S31)</f>
        <v>1.0252901458857087</v>
      </c>
    </row>
    <row r="35" spans="16:20" x14ac:dyDescent="0.25">
      <c r="P35" t="s">
        <v>5</v>
      </c>
      <c r="Q35">
        <f>R27*(1+Q4)^-Q27+R28*(1+Q4)^-Q28</f>
        <v>100.49749882900505</v>
      </c>
    </row>
    <row r="37" spans="16:20" ht="15.75" thickBot="1" x14ac:dyDescent="0.3"/>
    <row r="38" spans="16:20" x14ac:dyDescent="0.25">
      <c r="P38" t="s">
        <v>12</v>
      </c>
      <c r="Q38" s="17" t="s">
        <v>7</v>
      </c>
      <c r="R38" s="18" t="s">
        <v>8</v>
      </c>
      <c r="S38" s="18" t="s">
        <v>13</v>
      </c>
      <c r="T38" s="29"/>
    </row>
    <row r="39" spans="16:20" x14ac:dyDescent="0.25">
      <c r="Q39" s="31">
        <f>Q13</f>
        <v>2.7777777777777776E-2</v>
      </c>
      <c r="R39" s="21">
        <v>0.25</v>
      </c>
      <c r="S39" s="28">
        <f>Q39^2+Q39</f>
        <v>2.8549382716049381E-2</v>
      </c>
      <c r="T39" s="8">
        <f>S39*R39/((1+Q4)^Q39*Q9)</f>
        <v>7.1020083920098485E-5</v>
      </c>
    </row>
    <row r="40" spans="16:20" x14ac:dyDescent="0.25">
      <c r="Q40" s="31">
        <f>Q39+1</f>
        <v>1.0277777777777777</v>
      </c>
      <c r="R40" s="21">
        <v>100.25</v>
      </c>
      <c r="S40" s="28">
        <f>Q40^2+Q40</f>
        <v>2.0841049382716044</v>
      </c>
      <c r="T40" s="8">
        <f>S40*R40/((1+Q4)^Q40*Q9)</f>
        <v>2.078920452895463</v>
      </c>
    </row>
    <row r="41" spans="16:20" x14ac:dyDescent="0.25">
      <c r="Q41" s="20"/>
      <c r="R41" s="23"/>
      <c r="S41" s="28"/>
      <c r="T41" s="8"/>
    </row>
    <row r="42" spans="16:20" x14ac:dyDescent="0.25">
      <c r="Q42" s="20"/>
      <c r="R42" s="23"/>
      <c r="S42" s="28"/>
      <c r="T42" s="8"/>
    </row>
    <row r="43" spans="16:20" x14ac:dyDescent="0.25">
      <c r="Q43" s="20"/>
      <c r="R43" s="23"/>
      <c r="S43" s="28"/>
      <c r="T43" s="8"/>
    </row>
    <row r="44" spans="16:20" ht="15.75" thickBot="1" x14ac:dyDescent="0.3">
      <c r="Q44" s="24" t="s">
        <v>12</v>
      </c>
      <c r="R44" s="13"/>
      <c r="S44" s="30"/>
      <c r="T44" s="14">
        <f>T39+T40</f>
        <v>2.078991472979383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U44"/>
  <sheetViews>
    <sheetView topLeftCell="J1" workbookViewId="0">
      <selection activeCell="P16" sqref="P16"/>
    </sheetView>
  </sheetViews>
  <sheetFormatPr defaultRowHeight="15" x14ac:dyDescent="0.25"/>
  <cols>
    <col min="16" max="16" width="21.5703125" bestFit="1" customWidth="1"/>
    <col min="17" max="17" width="19" customWidth="1"/>
    <col min="18" max="18" width="32.28515625" bestFit="1" customWidth="1"/>
    <col min="19" max="19" width="18.140625" customWidth="1"/>
    <col min="20" max="20" width="11.85546875" customWidth="1"/>
    <col min="21" max="21" width="12" customWidth="1"/>
  </cols>
  <sheetData>
    <row r="1" spans="16:21" ht="15.75" thickBot="1" x14ac:dyDescent="0.3"/>
    <row r="2" spans="16:21" x14ac:dyDescent="0.25">
      <c r="P2" s="3"/>
      <c r="Q2" s="4">
        <v>41703</v>
      </c>
      <c r="R2" s="4">
        <v>41810</v>
      </c>
      <c r="S2" s="4">
        <v>42175</v>
      </c>
      <c r="T2" s="5">
        <v>42541</v>
      </c>
    </row>
    <row r="3" spans="16:21" x14ac:dyDescent="0.25">
      <c r="P3" s="6"/>
      <c r="Q3" s="7">
        <v>-117.6183</v>
      </c>
      <c r="R3" s="7">
        <v>6</v>
      </c>
      <c r="S3" s="7">
        <v>6</v>
      </c>
      <c r="T3" s="34">
        <v>106</v>
      </c>
    </row>
    <row r="4" spans="16:21" x14ac:dyDescent="0.25">
      <c r="P4" s="6" t="s">
        <v>4</v>
      </c>
      <c r="Q4" s="33">
        <f>XIRR(Q3:T3,Q2:T2)</f>
        <v>1.5131145715713502E-3</v>
      </c>
      <c r="R4" s="7"/>
      <c r="S4" s="7"/>
      <c r="T4" s="8"/>
    </row>
    <row r="5" spans="16:21" x14ac:dyDescent="0.25">
      <c r="P5" s="6"/>
      <c r="Q5" s="32">
        <f>XNPV(Q4,Q3:T3,Q2:T2)</f>
        <v>-5.6694332783990831E-7</v>
      </c>
      <c r="R5" s="7"/>
      <c r="S5" s="7"/>
      <c r="T5" s="8"/>
      <c r="U5" t="s">
        <v>0</v>
      </c>
    </row>
    <row r="6" spans="16:21" x14ac:dyDescent="0.25">
      <c r="P6" s="6"/>
      <c r="Q6" s="7"/>
      <c r="R6" s="7"/>
      <c r="S6" s="7"/>
      <c r="T6" s="8"/>
      <c r="U6" s="2">
        <f>DATE(2012,3,7)</f>
        <v>40975</v>
      </c>
    </row>
    <row r="7" spans="16:21" x14ac:dyDescent="0.25">
      <c r="P7" s="36"/>
      <c r="Q7" s="35">
        <v>41703</v>
      </c>
      <c r="R7" s="35">
        <v>41810</v>
      </c>
      <c r="S7" s="35">
        <v>42175</v>
      </c>
      <c r="T7" s="35">
        <v>42541</v>
      </c>
    </row>
    <row r="8" spans="16:21" x14ac:dyDescent="0.25">
      <c r="P8" s="6"/>
      <c r="Q8" s="7">
        <v>0</v>
      </c>
      <c r="R8" s="7">
        <v>6</v>
      </c>
      <c r="S8" s="7">
        <v>6</v>
      </c>
      <c r="T8" s="34">
        <v>106</v>
      </c>
    </row>
    <row r="9" spans="16:21" x14ac:dyDescent="0.25">
      <c r="P9" s="6" t="s">
        <v>5</v>
      </c>
      <c r="Q9" s="15">
        <f>XNPV(Q4,Q8:T8,Q7:T7)</f>
        <v>117.61829943305668</v>
      </c>
      <c r="R9" s="7"/>
      <c r="S9" s="7"/>
      <c r="T9" s="8"/>
    </row>
    <row r="10" spans="16:21" ht="15.75" thickBot="1" x14ac:dyDescent="0.3">
      <c r="P10" s="12" t="s">
        <v>3</v>
      </c>
      <c r="Q10" s="16">
        <f>Q23</f>
        <v>2.1443302337872763</v>
      </c>
      <c r="R10" s="13"/>
      <c r="S10" s="13"/>
      <c r="T10" s="14"/>
    </row>
    <row r="13" spans="16:21" x14ac:dyDescent="0.25">
      <c r="P13" t="s">
        <v>6</v>
      </c>
      <c r="Q13">
        <f>(R7-Q7)/360</f>
        <v>0.29722222222222222</v>
      </c>
    </row>
    <row r="14" spans="16:21" ht="15.75" thickBot="1" x14ac:dyDescent="0.3"/>
    <row r="15" spans="16:21" x14ac:dyDescent="0.25">
      <c r="S15" s="4">
        <v>41337</v>
      </c>
      <c r="T15" s="1">
        <v>41347</v>
      </c>
      <c r="U15" s="1">
        <v>41712</v>
      </c>
    </row>
    <row r="16" spans="16:21" x14ac:dyDescent="0.25">
      <c r="S16" s="7">
        <v>-100.4975</v>
      </c>
      <c r="T16">
        <v>0.25</v>
      </c>
      <c r="U16">
        <f>100+0.25</f>
        <v>100.25</v>
      </c>
    </row>
    <row r="19" spans="16:20" ht="15.75" thickBot="1" x14ac:dyDescent="0.3"/>
    <row r="20" spans="16:20" x14ac:dyDescent="0.25">
      <c r="P20" s="1"/>
      <c r="Q20" s="3">
        <v>41445</v>
      </c>
      <c r="R20" s="4">
        <v>41810</v>
      </c>
      <c r="S20" s="4">
        <v>42175</v>
      </c>
      <c r="T20" s="5">
        <v>42541</v>
      </c>
    </row>
    <row r="21" spans="16:20" x14ac:dyDescent="0.25">
      <c r="Q21" s="6"/>
      <c r="R21" s="7"/>
      <c r="S21" s="7"/>
      <c r="T21" s="8"/>
    </row>
    <row r="22" spans="16:20" x14ac:dyDescent="0.25">
      <c r="P22" s="37"/>
      <c r="Q22" s="7">
        <f>DURATION(Q20,T20,6%,Q4,1)</f>
        <v>2.8471080115650542</v>
      </c>
      <c r="R22" s="7" t="s">
        <v>10</v>
      </c>
      <c r="S22" s="7"/>
      <c r="T22" s="8"/>
    </row>
    <row r="23" spans="16:20" ht="15.75" thickBot="1" x14ac:dyDescent="0.3">
      <c r="Q23" s="27">
        <f>Q22+Q13-1</f>
        <v>2.1443302337872763</v>
      </c>
      <c r="R23" s="13" t="s">
        <v>14</v>
      </c>
      <c r="S23" s="13"/>
      <c r="T23" s="14"/>
    </row>
    <row r="25" spans="16:20" ht="15.75" thickBot="1" x14ac:dyDescent="0.3"/>
    <row r="26" spans="16:20" x14ac:dyDescent="0.25">
      <c r="Q26" s="17" t="s">
        <v>7</v>
      </c>
      <c r="R26" s="18" t="s">
        <v>8</v>
      </c>
      <c r="S26" s="19"/>
    </row>
    <row r="27" spans="16:20" x14ac:dyDescent="0.25">
      <c r="Q27" s="20">
        <f>Q13</f>
        <v>0.29722222222222222</v>
      </c>
      <c r="R27" s="21">
        <v>6</v>
      </c>
      <c r="S27" s="22">
        <f>(R27*Q27)/(1+$Q$4)^Q27/$Q$9</f>
        <v>1.5155227607962904E-2</v>
      </c>
    </row>
    <row r="28" spans="16:20" x14ac:dyDescent="0.25">
      <c r="Q28" s="20">
        <f>Q27+1</f>
        <v>1.2972222222222223</v>
      </c>
      <c r="R28" s="21">
        <v>6</v>
      </c>
      <c r="S28" s="22">
        <f t="shared" ref="S28:S29" si="0">(R28*Q28)/(1+$Q$4)^Q28/$Q$9</f>
        <v>6.6044845021113671E-2</v>
      </c>
    </row>
    <row r="29" spans="16:20" x14ac:dyDescent="0.25">
      <c r="Q29" s="20">
        <f>Q28+1</f>
        <v>2.2972222222222225</v>
      </c>
      <c r="R29" s="23">
        <v>106</v>
      </c>
      <c r="S29" s="22">
        <f t="shared" si="0"/>
        <v>2.0631249380489645</v>
      </c>
    </row>
    <row r="30" spans="16:20" x14ac:dyDescent="0.25">
      <c r="Q30" s="20"/>
      <c r="R30" s="23"/>
      <c r="S30" s="22"/>
    </row>
    <row r="31" spans="16:20" x14ac:dyDescent="0.25">
      <c r="Q31" s="20"/>
      <c r="R31" s="23"/>
      <c r="S31" s="22"/>
    </row>
    <row r="32" spans="16:20" ht="15.75" thickBot="1" x14ac:dyDescent="0.3">
      <c r="Q32" s="24" t="s">
        <v>9</v>
      </c>
      <c r="R32" s="13"/>
      <c r="S32" s="25">
        <f>SUM(S27:S31)</f>
        <v>2.1443250106780409</v>
      </c>
    </row>
    <row r="37" spans="16:20" ht="15.75" thickBot="1" x14ac:dyDescent="0.3"/>
    <row r="38" spans="16:20" x14ac:dyDescent="0.25">
      <c r="P38" t="s">
        <v>12</v>
      </c>
      <c r="Q38" s="17" t="s">
        <v>7</v>
      </c>
      <c r="R38" s="18" t="s">
        <v>8</v>
      </c>
      <c r="S38" s="18" t="s">
        <v>13</v>
      </c>
      <c r="T38" s="29"/>
    </row>
    <row r="39" spans="16:20" x14ac:dyDescent="0.25">
      <c r="Q39" s="20">
        <v>0.29722222222222222</v>
      </c>
      <c r="R39" s="21">
        <v>6</v>
      </c>
      <c r="S39" s="28">
        <f>Q39^2+Q39</f>
        <v>0.38556327160493825</v>
      </c>
      <c r="T39" s="8">
        <f>S39*R39/((1+$Q$4)^Q39*$Q$9)</f>
        <v>1.9659698035885211E-2</v>
      </c>
    </row>
    <row r="40" spans="16:20" x14ac:dyDescent="0.25">
      <c r="Q40" s="20">
        <v>1.2972222222222223</v>
      </c>
      <c r="R40" s="21">
        <v>6</v>
      </c>
      <c r="S40" s="28">
        <f>Q40^2+Q40</f>
        <v>2.980007716049383</v>
      </c>
      <c r="T40" s="8">
        <f>S40*R40/((1+$Q$4)^Q40*$Q$9)</f>
        <v>0.15171968564572505</v>
      </c>
    </row>
    <row r="41" spans="16:20" x14ac:dyDescent="0.25">
      <c r="Q41" s="20">
        <v>2.2972222222222225</v>
      </c>
      <c r="R41" s="23">
        <v>106</v>
      </c>
      <c r="S41" s="28">
        <f>Q41^2+Q41</f>
        <v>7.5744521604938289</v>
      </c>
      <c r="T41" s="8">
        <f>S41*R41/((1+$Q$4)^Q41*$Q$9)</f>
        <v>6.8025813929558918</v>
      </c>
    </row>
    <row r="42" spans="16:20" x14ac:dyDescent="0.25">
      <c r="Q42" s="20"/>
      <c r="R42" s="23"/>
      <c r="S42" s="28"/>
      <c r="T42" s="8"/>
    </row>
    <row r="43" spans="16:20" x14ac:dyDescent="0.25">
      <c r="Q43" s="20"/>
      <c r="R43" s="23"/>
      <c r="S43" s="28"/>
      <c r="T43" s="8"/>
    </row>
    <row r="44" spans="16:20" ht="15.75" thickBot="1" x14ac:dyDescent="0.3">
      <c r="Q44" s="24" t="s">
        <v>12</v>
      </c>
      <c r="R44" s="13"/>
      <c r="S44" s="30"/>
      <c r="T44" s="14">
        <f>T39+T40+T41</f>
        <v>6.9739607766375018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1:R44"/>
  <sheetViews>
    <sheetView topLeftCell="F1" workbookViewId="0">
      <selection activeCell="S9" sqref="S9"/>
    </sheetView>
  </sheetViews>
  <sheetFormatPr defaultRowHeight="15" x14ac:dyDescent="0.25"/>
  <cols>
    <col min="13" max="13" width="21.5703125" bestFit="1" customWidth="1"/>
    <col min="14" max="14" width="19" customWidth="1"/>
    <col min="15" max="15" width="32.28515625" bestFit="1" customWidth="1"/>
    <col min="16" max="16" width="18.140625" customWidth="1"/>
    <col min="17" max="17" width="11.85546875" customWidth="1"/>
    <col min="18" max="18" width="12" customWidth="1"/>
  </cols>
  <sheetData>
    <row r="1" spans="13:18" ht="15.75" thickBot="1" x14ac:dyDescent="0.3"/>
    <row r="2" spans="13:18" x14ac:dyDescent="0.25">
      <c r="M2" s="3"/>
      <c r="N2" s="4">
        <v>41709</v>
      </c>
      <c r="O2" s="4">
        <v>41810</v>
      </c>
      <c r="P2" s="4">
        <v>42175</v>
      </c>
      <c r="Q2" s="5">
        <v>42541</v>
      </c>
    </row>
    <row r="3" spans="13:18" x14ac:dyDescent="0.25">
      <c r="M3" s="6"/>
      <c r="N3" s="7">
        <v>-117.518</v>
      </c>
      <c r="O3" s="7">
        <v>6</v>
      </c>
      <c r="P3" s="7">
        <v>6</v>
      </c>
      <c r="Q3" s="34">
        <v>106</v>
      </c>
    </row>
    <row r="4" spans="13:18" x14ac:dyDescent="0.25">
      <c r="M4" s="6" t="s">
        <v>4</v>
      </c>
      <c r="N4" s="33">
        <f>XIRR(N3:Q3,N2:Q2)</f>
        <v>1.9267469644546509E-3</v>
      </c>
      <c r="O4" s="7"/>
      <c r="P4" s="7"/>
      <c r="Q4" s="8"/>
    </row>
    <row r="5" spans="13:18" x14ac:dyDescent="0.25">
      <c r="M5" s="6"/>
      <c r="N5" s="32">
        <f>XNPV(N4,N3:Q3,N2:Q2)</f>
        <v>3.7798056951032777E-7</v>
      </c>
      <c r="O5" s="7"/>
      <c r="P5" s="7"/>
      <c r="Q5" s="8"/>
      <c r="R5" t="s">
        <v>0</v>
      </c>
    </row>
    <row r="6" spans="13:18" x14ac:dyDescent="0.25">
      <c r="M6" s="6"/>
      <c r="N6" s="7"/>
      <c r="O6" s="7"/>
      <c r="P6" s="7"/>
      <c r="Q6" s="8"/>
      <c r="R6" s="2">
        <f>DATE(2012,3,7)</f>
        <v>40975</v>
      </c>
    </row>
    <row r="7" spans="13:18" x14ac:dyDescent="0.25">
      <c r="M7" s="36"/>
      <c r="N7" s="35">
        <v>41709</v>
      </c>
      <c r="O7" s="35">
        <v>41810</v>
      </c>
      <c r="P7" s="35">
        <v>42175</v>
      </c>
      <c r="Q7" s="35">
        <v>42541</v>
      </c>
    </row>
    <row r="8" spans="13:18" x14ac:dyDescent="0.25">
      <c r="M8" s="6"/>
      <c r="N8" s="7">
        <v>0</v>
      </c>
      <c r="O8" s="7">
        <v>6</v>
      </c>
      <c r="P8" s="7">
        <v>6</v>
      </c>
      <c r="Q8" s="34">
        <v>106</v>
      </c>
    </row>
    <row r="9" spans="13:18" x14ac:dyDescent="0.25">
      <c r="M9" s="6" t="s">
        <v>5</v>
      </c>
      <c r="N9" s="15">
        <f>XNPV(N4,N8:Q8,N7:Q7)</f>
        <v>117.51800037798057</v>
      </c>
      <c r="O9" s="7"/>
      <c r="P9" s="7"/>
      <c r="Q9" s="8"/>
    </row>
    <row r="10" spans="13:18" ht="15.75" thickBot="1" x14ac:dyDescent="0.3">
      <c r="M10" s="12" t="s">
        <v>3</v>
      </c>
      <c r="N10" s="16">
        <f>N23</f>
        <v>2.1275679477745797</v>
      </c>
      <c r="O10" s="13"/>
      <c r="P10" s="13"/>
      <c r="Q10" s="14"/>
    </row>
    <row r="13" spans="13:18" x14ac:dyDescent="0.25">
      <c r="M13" t="s">
        <v>6</v>
      </c>
      <c r="N13">
        <f>(O7-N7)/360</f>
        <v>0.28055555555555556</v>
      </c>
    </row>
    <row r="14" spans="13:18" ht="15.75" thickBot="1" x14ac:dyDescent="0.3"/>
    <row r="15" spans="13:18" x14ac:dyDescent="0.25">
      <c r="P15" s="4">
        <v>41337</v>
      </c>
      <c r="Q15" s="1">
        <v>41347</v>
      </c>
      <c r="R15" s="1">
        <v>41712</v>
      </c>
    </row>
    <row r="16" spans="13:18" x14ac:dyDescent="0.25">
      <c r="P16" s="7">
        <v>-100.4975</v>
      </c>
      <c r="Q16">
        <v>0.25</v>
      </c>
      <c r="R16">
        <f>100+0.25</f>
        <v>100.25</v>
      </c>
    </row>
    <row r="19" spans="13:17" ht="15.75" thickBot="1" x14ac:dyDescent="0.3"/>
    <row r="20" spans="13:17" x14ac:dyDescent="0.25">
      <c r="M20" s="1"/>
      <c r="N20" s="3">
        <v>41445</v>
      </c>
      <c r="O20" s="4">
        <v>41810</v>
      </c>
      <c r="P20" s="4">
        <v>42175</v>
      </c>
      <c r="Q20" s="5">
        <v>42541</v>
      </c>
    </row>
    <row r="21" spans="13:17" x14ac:dyDescent="0.25">
      <c r="N21" s="6"/>
      <c r="O21" s="7"/>
      <c r="P21" s="7"/>
      <c r="Q21" s="8"/>
    </row>
    <row r="22" spans="13:17" x14ac:dyDescent="0.25">
      <c r="M22" s="37"/>
      <c r="N22" s="7">
        <f>DURATION(N20,Q20,6%,N4,1)</f>
        <v>2.8470123922190242</v>
      </c>
      <c r="O22" s="7" t="s">
        <v>10</v>
      </c>
      <c r="P22" s="7"/>
      <c r="Q22" s="8"/>
    </row>
    <row r="23" spans="13:17" ht="15.75" thickBot="1" x14ac:dyDescent="0.3">
      <c r="N23" s="27">
        <f>N22+N13-1</f>
        <v>2.1275679477745797</v>
      </c>
      <c r="O23" s="13" t="s">
        <v>14</v>
      </c>
      <c r="P23" s="13"/>
      <c r="Q23" s="14"/>
    </row>
    <row r="25" spans="13:17" ht="15.75" thickBot="1" x14ac:dyDescent="0.3"/>
    <row r="26" spans="13:17" x14ac:dyDescent="0.25">
      <c r="N26" s="17" t="s">
        <v>7</v>
      </c>
      <c r="O26" s="18" t="s">
        <v>8</v>
      </c>
      <c r="P26" s="19"/>
    </row>
    <row r="27" spans="13:17" x14ac:dyDescent="0.25">
      <c r="N27" s="20">
        <f>N13</f>
        <v>0.28055555555555556</v>
      </c>
      <c r="O27" s="21">
        <v>6</v>
      </c>
      <c r="P27" s="22">
        <f>(O27*N27)/(1+N4)^N27/N9</f>
        <v>1.4316313304334896E-2</v>
      </c>
    </row>
    <row r="28" spans="13:17" x14ac:dyDescent="0.25">
      <c r="N28" s="20">
        <f>N27+1</f>
        <v>1.2805555555555554</v>
      </c>
      <c r="O28" s="21">
        <v>6</v>
      </c>
      <c r="P28" s="22">
        <f>(O28*N28)/(1+N4)^N28/N9</f>
        <v>6.5219096069953311E-2</v>
      </c>
    </row>
    <row r="29" spans="13:17" x14ac:dyDescent="0.25">
      <c r="N29" s="20">
        <f>N28+1</f>
        <v>2.2805555555555554</v>
      </c>
      <c r="O29" s="23">
        <v>106</v>
      </c>
      <c r="P29" s="22">
        <f>(O29*N29)/(1+N4)^N29/N9</f>
        <v>2.0480268752014457</v>
      </c>
    </row>
    <row r="30" spans="13:17" x14ac:dyDescent="0.25">
      <c r="N30" s="20"/>
      <c r="O30" s="23"/>
      <c r="P30" s="22"/>
    </row>
    <row r="31" spans="13:17" x14ac:dyDescent="0.25">
      <c r="N31" s="20"/>
      <c r="O31" s="23"/>
      <c r="P31" s="22"/>
    </row>
    <row r="32" spans="13:17" ht="15.75" thickBot="1" x14ac:dyDescent="0.3">
      <c r="N32" s="24" t="s">
        <v>9</v>
      </c>
      <c r="O32" s="13"/>
      <c r="P32" s="25">
        <f>SUM(P27:P31)</f>
        <v>2.1275622845757338</v>
      </c>
    </row>
    <row r="37" spans="13:17" ht="15.75" thickBot="1" x14ac:dyDescent="0.3"/>
    <row r="38" spans="13:17" x14ac:dyDescent="0.25">
      <c r="M38" t="s">
        <v>12</v>
      </c>
      <c r="N38" s="17" t="s">
        <v>7</v>
      </c>
      <c r="O38" s="18" t="s">
        <v>8</v>
      </c>
      <c r="P38" s="18" t="s">
        <v>13</v>
      </c>
      <c r="Q38" s="29"/>
    </row>
    <row r="39" spans="13:17" x14ac:dyDescent="0.25">
      <c r="N39" s="20">
        <v>0.28055555555555556</v>
      </c>
      <c r="O39" s="21">
        <v>6</v>
      </c>
      <c r="P39" s="28">
        <f>N39^2+N39</f>
        <v>0.35926697530864199</v>
      </c>
      <c r="Q39" s="8">
        <f>P39*O39/((1+$N$4)^N39*$N$9)</f>
        <v>1.8332834536939967E-2</v>
      </c>
    </row>
    <row r="40" spans="13:17" x14ac:dyDescent="0.25">
      <c r="N40" s="20">
        <v>1.2805555555555554</v>
      </c>
      <c r="O40" s="21">
        <v>6</v>
      </c>
      <c r="P40" s="28">
        <f>N40^2+N40</f>
        <v>2.9203780864197526</v>
      </c>
      <c r="Q40" s="8">
        <f t="shared" ref="Q40:Q41" si="0">P40*O40/((1+$N$4)^N40*$N$9)</f>
        <v>0.14873577187064352</v>
      </c>
    </row>
    <row r="41" spans="13:17" x14ac:dyDescent="0.25">
      <c r="N41" s="20">
        <v>2.2805555555555554</v>
      </c>
      <c r="O41" s="23">
        <v>106</v>
      </c>
      <c r="P41" s="28">
        <f>N41^2+N41</f>
        <v>7.4814891975308644</v>
      </c>
      <c r="Q41" s="8">
        <f t="shared" si="0"/>
        <v>6.7186659433691878</v>
      </c>
    </row>
    <row r="42" spans="13:17" x14ac:dyDescent="0.25">
      <c r="N42" s="20"/>
      <c r="O42" s="23"/>
      <c r="P42" s="28"/>
      <c r="Q42" s="8"/>
    </row>
    <row r="43" spans="13:17" x14ac:dyDescent="0.25">
      <c r="N43" s="20"/>
      <c r="O43" s="23"/>
      <c r="P43" s="28"/>
      <c r="Q43" s="8"/>
    </row>
    <row r="44" spans="13:17" ht="15.75" thickBot="1" x14ac:dyDescent="0.3">
      <c r="N44" s="24" t="s">
        <v>12</v>
      </c>
      <c r="O44" s="13"/>
      <c r="P44" s="30"/>
      <c r="Q44" s="14">
        <f>Q39+Q40+Q41</f>
        <v>6.885734549776771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:S44"/>
  <sheetViews>
    <sheetView tabSelected="1" zoomScaleNormal="100" workbookViewId="0">
      <selection activeCell="L19" sqref="L19"/>
    </sheetView>
  </sheetViews>
  <sheetFormatPr defaultRowHeight="15" x14ac:dyDescent="0.25"/>
  <cols>
    <col min="12" max="12" width="33.140625" customWidth="1"/>
    <col min="13" max="13" width="19" customWidth="1"/>
    <col min="14" max="14" width="32.28515625" bestFit="1" customWidth="1"/>
    <col min="15" max="15" width="18.140625" customWidth="1"/>
    <col min="16" max="16" width="11.85546875" customWidth="1"/>
    <col min="17" max="17" width="14.5703125" customWidth="1"/>
  </cols>
  <sheetData>
    <row r="1" spans="12:19" ht="15.75" thickBot="1" x14ac:dyDescent="0.3">
      <c r="N1">
        <f>N2-M2</f>
        <v>108</v>
      </c>
    </row>
    <row r="2" spans="12:19" x14ac:dyDescent="0.25">
      <c r="L2" s="3"/>
      <c r="M2" s="4">
        <v>42067</v>
      </c>
      <c r="N2" s="4">
        <v>42175</v>
      </c>
      <c r="O2" s="5">
        <v>42541</v>
      </c>
      <c r="Q2">
        <v>42067</v>
      </c>
      <c r="R2">
        <v>42175</v>
      </c>
      <c r="S2">
        <v>42541</v>
      </c>
    </row>
    <row r="3" spans="12:19" x14ac:dyDescent="0.25">
      <c r="L3" s="6"/>
      <c r="M3" s="7">
        <v>-112.24979999999999</v>
      </c>
      <c r="N3" s="7">
        <v>6</v>
      </c>
      <c r="O3" s="34">
        <v>106</v>
      </c>
      <c r="Q3">
        <v>112.24979999999999</v>
      </c>
      <c r="R3">
        <v>6</v>
      </c>
      <c r="S3">
        <v>106</v>
      </c>
    </row>
    <row r="4" spans="12:19" x14ac:dyDescent="0.25">
      <c r="L4" s="6" t="s">
        <v>4</v>
      </c>
      <c r="M4" s="33">
        <f>XIRR(M3:O3,M2:O2)</f>
        <v>-1.7879158258438113E-3</v>
      </c>
      <c r="N4" s="7">
        <f>XIRR(M3:O3,M2:O2)</f>
        <v>-1.7879158258438113E-3</v>
      </c>
      <c r="O4" s="7"/>
      <c r="P4" s="8"/>
    </row>
    <row r="5" spans="12:19" x14ac:dyDescent="0.25">
      <c r="L5" s="6" t="s">
        <v>17</v>
      </c>
      <c r="M5" s="42">
        <f>N5+O5</f>
        <v>112.24979976369889</v>
      </c>
      <c r="N5" s="7">
        <f>N3/(1+$M$4)^((N2-$M$2)/365)</f>
        <v>6.0031778451068725</v>
      </c>
      <c r="O5" s="7">
        <f>O3/(1+$M$4)^((O2-$M$2)/365)</f>
        <v>106.24662191859201</v>
      </c>
      <c r="P5" s="8"/>
      <c r="Q5" t="s">
        <v>0</v>
      </c>
    </row>
    <row r="6" spans="12:19" ht="15.75" thickBot="1" x14ac:dyDescent="0.3">
      <c r="L6" s="6"/>
      <c r="M6" s="7"/>
      <c r="N6" s="7"/>
      <c r="O6" s="7"/>
      <c r="P6" s="8"/>
      <c r="Q6" s="2">
        <f>DATE(2012,3,7)</f>
        <v>40975</v>
      </c>
    </row>
    <row r="7" spans="12:19" x14ac:dyDescent="0.25">
      <c r="L7" s="36"/>
      <c r="M7" s="4">
        <v>42067</v>
      </c>
      <c r="N7" s="35">
        <v>42175</v>
      </c>
      <c r="O7" s="35">
        <v>42541</v>
      </c>
    </row>
    <row r="8" spans="12:19" x14ac:dyDescent="0.25">
      <c r="L8" s="6"/>
      <c r="M8" s="7">
        <v>0</v>
      </c>
      <c r="N8" s="7">
        <v>6</v>
      </c>
      <c r="O8" s="34">
        <v>106</v>
      </c>
    </row>
    <row r="9" spans="12:19" x14ac:dyDescent="0.25">
      <c r="L9" s="6" t="s">
        <v>5</v>
      </c>
      <c r="M9" s="15">
        <f>XNPV(0.001,M8:O8,M7:O7)</f>
        <v>111.86072904741772</v>
      </c>
      <c r="N9" s="7" t="s">
        <v>15</v>
      </c>
      <c r="O9" s="8"/>
    </row>
    <row r="10" spans="12:19" ht="15.75" thickBot="1" x14ac:dyDescent="0.3">
      <c r="L10" s="12" t="s">
        <v>3</v>
      </c>
      <c r="M10" s="16" t="e">
        <f>M23</f>
        <v>#VALUE!</v>
      </c>
      <c r="N10" s="13"/>
      <c r="O10" s="14"/>
    </row>
    <row r="11" spans="12:19" x14ac:dyDescent="0.25">
      <c r="L11" t="s">
        <v>16</v>
      </c>
      <c r="M11" s="41">
        <f>N11+O11</f>
        <v>112.24979976369889</v>
      </c>
      <c r="N11">
        <f>6/(1+M4)^((N7-M7)/365)</f>
        <v>6.0031778451068725</v>
      </c>
      <c r="O11">
        <f>O8/(1+M4)^((O7-M7)/365)</f>
        <v>106.24662191859201</v>
      </c>
    </row>
    <row r="13" spans="12:19" x14ac:dyDescent="0.25">
      <c r="L13" t="s">
        <v>6</v>
      </c>
      <c r="M13" s="39">
        <f>(N7-M7)/360</f>
        <v>0.3</v>
      </c>
    </row>
    <row r="14" spans="12:19" ht="15.75" thickBot="1" x14ac:dyDescent="0.3"/>
    <row r="15" spans="12:19" x14ac:dyDescent="0.25">
      <c r="O15" s="4">
        <v>41337</v>
      </c>
      <c r="P15" s="1">
        <v>41347</v>
      </c>
      <c r="Q15" s="1">
        <v>41712</v>
      </c>
    </row>
    <row r="16" spans="12:19" x14ac:dyDescent="0.25">
      <c r="O16" s="7">
        <v>-100.4975</v>
      </c>
      <c r="P16">
        <v>0.25</v>
      </c>
      <c r="Q16">
        <f>100+0.25</f>
        <v>100.25</v>
      </c>
    </row>
    <row r="17" spans="11:19" x14ac:dyDescent="0.25">
      <c r="K17" s="38"/>
    </row>
    <row r="18" spans="11:19" x14ac:dyDescent="0.25">
      <c r="M18">
        <f>DURATION(M20,P20,0.06,0.00001,1)</f>
        <v>1.946428064413537</v>
      </c>
    </row>
    <row r="19" spans="11:19" ht="15.75" thickBot="1" x14ac:dyDescent="0.3"/>
    <row r="20" spans="11:19" x14ac:dyDescent="0.25">
      <c r="L20" s="1"/>
      <c r="M20" s="3">
        <v>41810</v>
      </c>
      <c r="N20" s="4"/>
      <c r="O20" s="4">
        <v>42175</v>
      </c>
      <c r="P20" s="5">
        <v>42541</v>
      </c>
    </row>
    <row r="21" spans="11:19" x14ac:dyDescent="0.25">
      <c r="M21" s="6"/>
      <c r="N21" s="7"/>
      <c r="O21" s="7"/>
      <c r="P21" s="8"/>
    </row>
    <row r="22" spans="11:19" x14ac:dyDescent="0.25">
      <c r="L22" s="37"/>
      <c r="M22" s="7" t="e">
        <f>DURATION(M20,P20,6%,L5,1)</f>
        <v>#VALUE!</v>
      </c>
      <c r="N22" s="7" t="s">
        <v>10</v>
      </c>
      <c r="O22" s="7"/>
      <c r="P22" s="8"/>
    </row>
    <row r="23" spans="11:19" ht="15.75" thickBot="1" x14ac:dyDescent="0.3">
      <c r="M23" s="40" t="e">
        <f>M22+M13-1</f>
        <v>#VALUE!</v>
      </c>
      <c r="N23" s="13" t="s">
        <v>14</v>
      </c>
      <c r="O23" s="13"/>
      <c r="P23" s="14"/>
    </row>
    <row r="25" spans="11:19" ht="15.75" thickBot="1" x14ac:dyDescent="0.3">
      <c r="Q25" t="s">
        <v>3</v>
      </c>
      <c r="S25" t="s">
        <v>12</v>
      </c>
    </row>
    <row r="26" spans="11:19" x14ac:dyDescent="0.25">
      <c r="L26" t="s">
        <v>5</v>
      </c>
      <c r="M26" s="17" t="s">
        <v>7</v>
      </c>
      <c r="N26" s="18" t="s">
        <v>8</v>
      </c>
      <c r="O26" s="19"/>
      <c r="P26" s="44" t="s">
        <v>18</v>
      </c>
      <c r="Q26" s="44" t="s">
        <v>19</v>
      </c>
      <c r="R26" s="44" t="s">
        <v>20</v>
      </c>
      <c r="S26" s="44" t="s">
        <v>21</v>
      </c>
    </row>
    <row r="27" spans="11:19" x14ac:dyDescent="0.25">
      <c r="L27">
        <v>112.24890000000001</v>
      </c>
      <c r="M27" s="20">
        <f>M13</f>
        <v>0.3</v>
      </c>
      <c r="N27" s="21">
        <v>6</v>
      </c>
      <c r="O27" s="22">
        <f>(N27*M27)/(1+M4)^M27/L27</f>
        <v>1.6044403090880316E-2</v>
      </c>
      <c r="P27">
        <f>N27/(1+M4)^((N2-M2)/365)/M5</f>
        <v>5.3480521637850394E-2</v>
      </c>
      <c r="Q27">
        <f>P27*M27</f>
        <v>1.6044156491355117E-2</v>
      </c>
      <c r="R27">
        <f>M27*(M27+1)</f>
        <v>0.39</v>
      </c>
      <c r="S27">
        <f>R27*P27</f>
        <v>2.0857403438761656E-2</v>
      </c>
    </row>
    <row r="28" spans="11:19" x14ac:dyDescent="0.25">
      <c r="M28" s="20">
        <f>M27+1</f>
        <v>1.3</v>
      </c>
      <c r="N28" s="21">
        <v>106</v>
      </c>
      <c r="O28" s="22">
        <f>(N28*M28)/(1+M4)^M28/L27</f>
        <v>1.2304882015086067</v>
      </c>
      <c r="P28">
        <f>N28/(1+M4)^((O2-M2)/365)/M5</f>
        <v>0.94651947836214956</v>
      </c>
      <c r="Q28">
        <f>P28*M28</f>
        <v>1.2304753218707944</v>
      </c>
      <c r="R28">
        <f>M28*(M28+1)</f>
        <v>2.9899999999999998</v>
      </c>
      <c r="S28">
        <f>R28*P28</f>
        <v>2.8300932403028272</v>
      </c>
    </row>
    <row r="29" spans="11:19" x14ac:dyDescent="0.25">
      <c r="M29" s="20"/>
      <c r="N29" s="23"/>
      <c r="O29" s="22"/>
      <c r="Q29" s="43">
        <f>SUM(Q27:Q28)</f>
        <v>1.2465194783621496</v>
      </c>
      <c r="S29" s="43">
        <f>SUM(S27:S28)</f>
        <v>2.850950643741589</v>
      </c>
    </row>
    <row r="30" spans="11:19" x14ac:dyDescent="0.25">
      <c r="M30" s="20"/>
      <c r="N30" s="23"/>
      <c r="O30" s="22"/>
    </row>
    <row r="31" spans="11:19" x14ac:dyDescent="0.25">
      <c r="M31" s="20"/>
      <c r="N31" s="23"/>
      <c r="O31" s="22"/>
    </row>
    <row r="32" spans="11:19" ht="15.75" thickBot="1" x14ac:dyDescent="0.3">
      <c r="M32" s="24" t="s">
        <v>9</v>
      </c>
      <c r="N32" s="13"/>
      <c r="O32" s="25">
        <f>SUM(O27:O31)</f>
        <v>1.2465326045994871</v>
      </c>
    </row>
    <row r="37" spans="12:16" ht="15.75" thickBot="1" x14ac:dyDescent="0.3"/>
    <row r="38" spans="12:16" x14ac:dyDescent="0.25">
      <c r="L38" t="s">
        <v>12</v>
      </c>
      <c r="M38" s="17" t="s">
        <v>7</v>
      </c>
      <c r="N38" s="18" t="s">
        <v>8</v>
      </c>
      <c r="O38" s="18" t="s">
        <v>13</v>
      </c>
      <c r="P38" s="29"/>
    </row>
    <row r="39" spans="12:16" x14ac:dyDescent="0.25">
      <c r="M39" s="20">
        <f>M27</f>
        <v>0.3</v>
      </c>
      <c r="N39" s="21">
        <v>6</v>
      </c>
      <c r="O39" s="28">
        <f>M39^2+M39</f>
        <v>0.39</v>
      </c>
      <c r="P39" s="8">
        <f>O39*N39/((1+$M$4)^M39*$M$11)</f>
        <v>2.0857556828332471E-2</v>
      </c>
    </row>
    <row r="40" spans="12:16" x14ac:dyDescent="0.25">
      <c r="M40" s="20">
        <f>M28</f>
        <v>1.3</v>
      </c>
      <c r="N40" s="21">
        <v>106</v>
      </c>
      <c r="O40" s="28">
        <f>M40^2+M40</f>
        <v>2.99</v>
      </c>
      <c r="P40" s="8">
        <f>O40*N40/((1+$M$4)^M40*$M$11)</f>
        <v>2.8301001779788519</v>
      </c>
    </row>
    <row r="41" spans="12:16" x14ac:dyDescent="0.25">
      <c r="M41" s="20"/>
      <c r="N41" s="23"/>
      <c r="O41" s="28"/>
      <c r="P41" s="8"/>
    </row>
    <row r="42" spans="12:16" x14ac:dyDescent="0.25">
      <c r="M42" s="20"/>
      <c r="N42" s="23"/>
      <c r="O42" s="28"/>
      <c r="P42" s="8"/>
    </row>
    <row r="43" spans="12:16" x14ac:dyDescent="0.25">
      <c r="M43" s="20"/>
      <c r="N43" s="23"/>
      <c r="O43" s="28"/>
      <c r="P43" s="8"/>
    </row>
    <row r="44" spans="12:16" ht="15.75" thickBot="1" x14ac:dyDescent="0.3">
      <c r="M44" s="24" t="s">
        <v>12</v>
      </c>
      <c r="N44" s="13"/>
      <c r="O44" s="30">
        <f>P39+P40</f>
        <v>2.8509577348071846</v>
      </c>
      <c r="P44" s="1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Foglio1</vt:lpstr>
      <vt:lpstr>7 marzo 2012</vt:lpstr>
      <vt:lpstr>8 marzo 2012</vt:lpstr>
      <vt:lpstr>prova</vt:lpstr>
      <vt:lpstr>04032013</vt:lpstr>
      <vt:lpstr>06032014</vt:lpstr>
      <vt:lpstr>12032014</vt:lpstr>
      <vt:lpstr>05032015</vt:lpstr>
    </vt:vector>
  </TitlesOfParts>
  <Company>Facolta' economia "Marco Biagi" - 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Muzzioli</dc:creator>
  <cp:lastModifiedBy>Silvia MUZZIOLI</cp:lastModifiedBy>
  <dcterms:created xsi:type="dcterms:W3CDTF">2012-03-07T11:53:19Z</dcterms:created>
  <dcterms:modified xsi:type="dcterms:W3CDTF">2015-03-13T12:12:41Z</dcterms:modified>
</cp:coreProperties>
</file>