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2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3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4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6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7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8.xml" ContentType="application/vnd.openxmlformats-officedocument.themeOverrid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9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10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11.xml" ContentType="application/vnd.openxmlformats-officedocument.themeOverrid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12.xml" ContentType="application/vnd.openxmlformats-officedocument.themeOverrid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13.xml" ContentType="application/vnd.openxmlformats-officedocument.themeOverrid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14.xml" ContentType="application/vnd.openxmlformats-officedocument.themeOverrid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15.xml" ContentType="application/vnd.openxmlformats-officedocument.themeOverrid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16.xml" ContentType="application/vnd.openxmlformats-officedocument.themeOverrid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tente\Dropbox\Carlo Alberto\ARTICOLI\2025\FINANCIAL MATHEMATICS - UNEXPECTED CONNECTIONS\"/>
    </mc:Choice>
  </mc:AlternateContent>
  <xr:revisionPtr revIDLastSave="0" documentId="13_ncr:1_{B4AA905F-AC30-4358-9AD2-45F014034D6A}" xr6:coauthVersionLast="47" xr6:coauthVersionMax="47" xr10:uidLastSave="{00000000-0000-0000-0000-000000000000}"/>
  <bookViews>
    <workbookView xWindow="28692" yWindow="-108" windowWidth="29016" windowHeight="16416" tabRatio="827" activeTab="1" xr2:uid="{97B21435-881F-4437-B8D4-008A3135A2AB}"/>
  </bookViews>
  <sheets>
    <sheet name="info" sheetId="92" r:id="rId1"/>
    <sheet name="Description" sheetId="4" r:id="rId2"/>
    <sheet name="Legend" sheetId="93" r:id="rId3"/>
    <sheet name="Assumptions" sheetId="6" r:id="rId4"/>
    <sheet name="DataProcess" sheetId="3" r:id="rId5"/>
    <sheet name="SplitScreenStrip" sheetId="1" r:id="rId6"/>
    <sheet name="SinglePeriod" sheetId="7" r:id="rId7"/>
    <sheet name="TransMatrix" sheetId="42" r:id="rId8"/>
    <sheet name="ConventionalFinStat" sheetId="2" r:id="rId9"/>
    <sheet name="ValueCreation" sheetId="39" r:id="rId10"/>
    <sheet name="Graphs" sheetId="91" r:id="rId11"/>
    <sheet name="AccDiagnostics" sheetId="98" r:id="rId12"/>
    <sheet name="FinDiagnostics" sheetId="99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4" hidden="1">DataProcess!$A$4:$Q$130</definedName>
    <definedName name="a">'[1]1'!#REF!</definedName>
    <definedName name="Ass_02_Var">[2]Assumptions!#REF!</definedName>
    <definedName name="Ass_03_Fix">[2]Assumptions!#REF!</definedName>
    <definedName name="Ass_04_Ret">[2]Assumptions!#REF!</definedName>
    <definedName name="Ass_varD">[2]Assumptions!#REF!</definedName>
    <definedName name="Ass_varF">[2]Assumptions!#REF!</definedName>
    <definedName name="b">'[1]1'!#REF!</definedName>
    <definedName name="C_Input_il">#REF!</definedName>
    <definedName name="C_Input_q">#REF!</definedName>
    <definedName name="C_Output_AIRR">#REF!</definedName>
    <definedName name="C_Output_AIRR_Scen">#REF!</definedName>
    <definedName name="C_Output_NPV">#REF!</definedName>
    <definedName name="C_Output_NPV_Debt">#REF!</definedName>
    <definedName name="C_Output_NPV_Debt_Scen">#REF!</definedName>
    <definedName name="C_Output_NPV_Liquid">#REF!</definedName>
    <definedName name="C_Output_NPV_Liquid_Scen">#REF!</definedName>
    <definedName name="C_Output_NPV_Operation">#REF!</definedName>
    <definedName name="C_Output_NPV_Operation_Scen">#REF!</definedName>
    <definedName name="C_Output_NPV_Scen" localSheetId="0">[3]SCENARIOS!$I$35:$P$35</definedName>
    <definedName name="C_Output_NPV_Scen">#REF!</definedName>
    <definedName name="C_Ret_Scenari">#REF!</definedName>
    <definedName name="C_Var_Scenari">#REF!</definedName>
    <definedName name="Comp_02_Var">#REF!</definedName>
    <definedName name="Comp_03_Fix">#REF!</definedName>
    <definedName name="Comp_04_Ret">#REF!</definedName>
    <definedName name="cx">'[1]1'!#REF!</definedName>
    <definedName name="Dev_Input_il" localSheetId="0">[3]DEVIATIONS!$B$10:$B$15</definedName>
    <definedName name="Dev_Input_il">#REF!</definedName>
    <definedName name="Dev_Input_il_q">#REF!</definedName>
    <definedName name="Dev_Input_q">#REF!</definedName>
    <definedName name="Dev_Input_q_il" localSheetId="0">[3]DEVIATIONS!$C$22</definedName>
    <definedName name="Dev_Input_q_il">#REF!</definedName>
    <definedName name="Dev_Input_Qmax">[3]DEVIATIONS!$B$42:$B$47</definedName>
    <definedName name="Dev_Output_DoppiaEntrata">#REF!</definedName>
    <definedName name="Dev_Output_il">#REF!</definedName>
    <definedName name="Dev_Output_q">#REF!</definedName>
    <definedName name="distr_mode">[2]tools!$B$5:$B$8</definedName>
    <definedName name="dx">'[1]1'!#REF!</definedName>
    <definedName name="OutputScen1" localSheetId="0">[4]SA!$L$6</definedName>
    <definedName name="OutputScen1">[5]FCSI!$L$6</definedName>
    <definedName name="OutputScen2" localSheetId="0">[4]SA!$M$6</definedName>
    <definedName name="OutputScen2">[5]FCSI!$M$6</definedName>
    <definedName name="qq">[6]Comp!$I$44:$P$44</definedName>
    <definedName name="SAfin_FCSI_FirstOrdD">#REF!</definedName>
    <definedName name="SAfin_FCSI_FirstOrdF">#REF!</definedName>
    <definedName name="SAfin_FCSI_TotOrdD">#REF!</definedName>
    <definedName name="SAfin_FCSI_TotOrdF">#REF!</definedName>
    <definedName name="SAfin_Output">#REF!</definedName>
    <definedName name="SAfin_Scen1_Output" localSheetId="0">'[3]FCSI-financial'!$L$6</definedName>
    <definedName name="SAfin_Scen1_Output">#REF!</definedName>
    <definedName name="SAfin_Scen1_varD">#REF!</definedName>
    <definedName name="SAfin_Scen1_varF">#REF!</definedName>
    <definedName name="SAfin_Scen2_Output" localSheetId="0">'[3]FCSI-financial'!$M$6</definedName>
    <definedName name="SAfin_Scen2_Output">#REF!</definedName>
    <definedName name="SAfin_Scen2_varD">#REF!</definedName>
    <definedName name="SAfin_Scen2_varF">#REF!</definedName>
    <definedName name="SAfull_02_Scen1_Var">#REF!</definedName>
    <definedName name="SAfull_02_Scen2_Var">#REF!</definedName>
    <definedName name="SAfull_03_Scen1e2_Fix">#REF!</definedName>
    <definedName name="SAfull_04_Scen1e2_Ret">#REF!</definedName>
    <definedName name="SAfull_FCSI_AIRR_FirstOrd">#REF!</definedName>
    <definedName name="SAfull_FCSI_AIRR_TotOrd">#REF!</definedName>
    <definedName name="SAfull_FCSI_FirstOrd">#REF!</definedName>
    <definedName name="SAfull_FCSI_TotOrd">#REF!</definedName>
    <definedName name="SAfull_Output">#REF!</definedName>
    <definedName name="SAfull_OutputAIRR">#REF!</definedName>
    <definedName name="SAfull_Scen1_Output" localSheetId="0">'[3]FCSI-full'!$L$6</definedName>
    <definedName name="SAfull_Scen1_Output">#REF!</definedName>
    <definedName name="SAfull_Scen1_OutputAIRR">#REF!</definedName>
    <definedName name="SAfull_Scen2_Output" localSheetId="0">'[3]FCSI-full'!$M$6</definedName>
    <definedName name="SAfull_Scen2_Output">#REF!</definedName>
    <definedName name="SAfull_Scen2_OutputAIR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4" i="7" l="1"/>
  <c r="M25" i="7"/>
  <c r="M26" i="7"/>
  <c r="M27" i="7"/>
  <c r="M28" i="7"/>
  <c r="M29" i="7"/>
  <c r="M30" i="7"/>
  <c r="M31" i="7"/>
  <c r="M32" i="7"/>
  <c r="M33" i="7"/>
  <c r="M23" i="7"/>
  <c r="L34" i="7"/>
  <c r="K34" i="7"/>
  <c r="J34" i="7"/>
  <c r="I34" i="7"/>
  <c r="M8" i="7"/>
  <c r="M9" i="7"/>
  <c r="M10" i="7"/>
  <c r="M11" i="7"/>
  <c r="M12" i="7"/>
  <c r="M13" i="7"/>
  <c r="M14" i="7"/>
  <c r="M15" i="7"/>
  <c r="M16" i="7"/>
  <c r="M17" i="7"/>
  <c r="M7" i="7"/>
  <c r="J18" i="7"/>
  <c r="K18" i="7"/>
  <c r="L18" i="7"/>
  <c r="I18" i="7"/>
  <c r="L6" i="7"/>
  <c r="L22" i="7" s="1"/>
  <c r="K6" i="7"/>
  <c r="J6" i="7"/>
  <c r="J22" i="7" s="1"/>
  <c r="I6" i="7"/>
  <c r="K22" i="7" s="1"/>
  <c r="G56" i="99" l="1"/>
  <c r="G44" i="99"/>
  <c r="G83" i="99"/>
  <c r="E72" i="39"/>
  <c r="J66" i="39"/>
  <c r="E64" i="39"/>
  <c r="E63" i="39"/>
  <c r="J59" i="39"/>
  <c r="J57" i="39"/>
  <c r="E55" i="39"/>
  <c r="E54" i="39"/>
  <c r="G66" i="98"/>
  <c r="G65" i="98"/>
  <c r="G69" i="99" l="1"/>
  <c r="G76" i="99"/>
  <c r="H40" i="99"/>
  <c r="H39" i="99"/>
  <c r="H38" i="99"/>
  <c r="P90" i="3"/>
  <c r="O90" i="3"/>
  <c r="N90" i="3"/>
  <c r="M90" i="3"/>
  <c r="L90" i="3"/>
  <c r="K90" i="3"/>
  <c r="I90" i="3"/>
  <c r="G90" i="3"/>
  <c r="N14" i="99" l="1"/>
  <c r="N13" i="99"/>
  <c r="N10" i="99"/>
  <c r="N9" i="99"/>
  <c r="N92" i="99" l="1"/>
  <c r="N11" i="99"/>
  <c r="N15" i="99"/>
  <c r="N78" i="99" l="1"/>
  <c r="N79" i="99" s="1"/>
  <c r="I20" i="7" l="1"/>
  <c r="N47" i="42"/>
  <c r="N46" i="42"/>
  <c r="N43" i="42"/>
  <c r="N42" i="42"/>
  <c r="Y90" i="1"/>
  <c r="Y91" i="1"/>
  <c r="N44" i="42" l="1"/>
  <c r="N48" i="42"/>
  <c r="I37" i="3" l="1"/>
  <c r="H37" i="3"/>
  <c r="G37" i="3"/>
  <c r="Y20" i="1" l="1" a="1"/>
  <c r="Y20" i="1" s="1"/>
  <c r="V20" i="1" a="1"/>
  <c r="V20" i="1" s="1"/>
  <c r="S20" i="1" a="1"/>
  <c r="S20" i="1" s="1"/>
  <c r="P20" i="1" a="1"/>
  <c r="P20" i="1" s="1"/>
  <c r="M20" i="1" a="1"/>
  <c r="M20" i="1" s="1"/>
  <c r="J20" i="1" a="1"/>
  <c r="J20" i="1" s="1"/>
  <c r="Y32" i="1" l="1"/>
  <c r="Y43" i="1"/>
  <c r="Y53" i="1" s="1"/>
  <c r="I23" i="1"/>
  <c r="O28" i="1" l="1"/>
  <c r="R28" i="1"/>
  <c r="X28" i="1" l="1"/>
  <c r="U28" i="1"/>
  <c r="L28" i="1"/>
  <c r="G35" i="1"/>
  <c r="G34" i="1"/>
  <c r="G33" i="1"/>
  <c r="G32" i="1"/>
  <c r="G31" i="1"/>
  <c r="G30" i="1"/>
  <c r="G29" i="1"/>
  <c r="G28" i="1"/>
  <c r="G27" i="1"/>
  <c r="I28" i="1"/>
  <c r="V32" i="1"/>
  <c r="M32" i="1"/>
  <c r="P32" i="1" l="1"/>
  <c r="P43" i="1"/>
  <c r="P53" i="1" s="1"/>
  <c r="S32" i="1"/>
  <c r="S43" i="1"/>
  <c r="S53" i="1" s="1"/>
  <c r="M17" i="2"/>
  <c r="N17" i="2"/>
  <c r="O17" i="2"/>
  <c r="P17" i="2"/>
  <c r="Q17" i="2"/>
  <c r="G114" i="3"/>
  <c r="G108" i="3"/>
  <c r="H104" i="3"/>
  <c r="G104" i="3"/>
  <c r="H100" i="3"/>
  <c r="G105" i="3"/>
  <c r="I103" i="3"/>
  <c r="A104" i="3"/>
  <c r="I29" i="3"/>
  <c r="G29" i="3"/>
  <c r="H28" i="3"/>
  <c r="A28" i="3"/>
  <c r="G28" i="3"/>
  <c r="I99" i="3"/>
  <c r="I41" i="3"/>
  <c r="G41" i="3"/>
  <c r="G18" i="3"/>
  <c r="G34" i="3"/>
  <c r="G81" i="3"/>
  <c r="A84" i="3"/>
  <c r="D2" i="1" l="1"/>
  <c r="I126" i="3" l="1"/>
  <c r="G126" i="3"/>
  <c r="I117" i="3"/>
  <c r="G117" i="3"/>
  <c r="I116" i="3"/>
  <c r="H116" i="3"/>
  <c r="G116" i="3"/>
  <c r="A116" i="3"/>
  <c r="I127" i="3"/>
  <c r="G127" i="3"/>
  <c r="I123" i="3"/>
  <c r="G123" i="3"/>
  <c r="I14" i="3"/>
  <c r="H14" i="3"/>
  <c r="M15" i="3" s="1"/>
  <c r="M123" i="3" s="1"/>
  <c r="G14" i="3"/>
  <c r="A14" i="3"/>
  <c r="H110" i="3"/>
  <c r="I77" i="3"/>
  <c r="G77" i="3"/>
  <c r="I96" i="3"/>
  <c r="G96" i="3"/>
  <c r="I91" i="3"/>
  <c r="G91" i="3"/>
  <c r="I85" i="3"/>
  <c r="G85" i="3"/>
  <c r="I38" i="3"/>
  <c r="G38" i="3"/>
  <c r="I25" i="3"/>
  <c r="H25" i="3"/>
  <c r="G25" i="3"/>
  <c r="A25" i="3"/>
  <c r="I30" i="3"/>
  <c r="G30" i="3"/>
  <c r="I21" i="3"/>
  <c r="G21" i="3"/>
  <c r="P10" i="3"/>
  <c r="P21" i="3" s="1"/>
  <c r="O10" i="3"/>
  <c r="O21" i="3" s="1"/>
  <c r="N10" i="3"/>
  <c r="N21" i="3" s="1"/>
  <c r="M10" i="3"/>
  <c r="M21" i="3" s="1"/>
  <c r="L10" i="3"/>
  <c r="L21" i="3" s="1"/>
  <c r="K10" i="3"/>
  <c r="I9" i="3"/>
  <c r="H9" i="3"/>
  <c r="L11" i="3" s="1"/>
  <c r="L30" i="3" s="1"/>
  <c r="G9" i="3"/>
  <c r="A9" i="3"/>
  <c r="K21" i="3" l="1"/>
  <c r="L117" i="3"/>
  <c r="L118" i="3" s="1"/>
  <c r="L126" i="3" s="1"/>
  <c r="M117" i="3"/>
  <c r="M118" i="3" s="1"/>
  <c r="M126" i="3" s="1"/>
  <c r="K117" i="3"/>
  <c r="K118" i="3" s="1"/>
  <c r="O117" i="3"/>
  <c r="O118" i="3" s="1"/>
  <c r="O126" i="3" s="1"/>
  <c r="P117" i="3"/>
  <c r="P118" i="3" s="1"/>
  <c r="P126" i="3" s="1"/>
  <c r="N117" i="3"/>
  <c r="N118" i="3" s="1"/>
  <c r="N126" i="3" s="1"/>
  <c r="L15" i="3"/>
  <c r="L123" i="3" s="1"/>
  <c r="K15" i="3"/>
  <c r="P15" i="3"/>
  <c r="P123" i="3" s="1"/>
  <c r="O15" i="3"/>
  <c r="O123" i="3" s="1"/>
  <c r="N15" i="3"/>
  <c r="N123" i="3" s="1"/>
  <c r="L77" i="3"/>
  <c r="L38" i="3"/>
  <c r="O12" i="3"/>
  <c r="O96" i="3" s="1"/>
  <c r="N12" i="3"/>
  <c r="N96" i="3" s="1"/>
  <c r="P12" i="3"/>
  <c r="P96" i="3" s="1"/>
  <c r="K12" i="3"/>
  <c r="K91" i="3" s="1"/>
  <c r="L12" i="3"/>
  <c r="L96" i="3" s="1"/>
  <c r="M12" i="3"/>
  <c r="M96" i="3" s="1"/>
  <c r="O11" i="3"/>
  <c r="O77" i="3" s="1"/>
  <c r="P11" i="3"/>
  <c r="P77" i="3" s="1"/>
  <c r="K11" i="3"/>
  <c r="N11" i="3"/>
  <c r="N77" i="3" s="1"/>
  <c r="M11" i="3"/>
  <c r="M77" i="3" s="1"/>
  <c r="K96" i="3" l="1"/>
  <c r="K126" i="3"/>
  <c r="K77" i="3"/>
  <c r="K123" i="3"/>
  <c r="P85" i="3"/>
  <c r="P91" i="3"/>
  <c r="O91" i="3"/>
  <c r="O85" i="3"/>
  <c r="N91" i="3"/>
  <c r="N85" i="3"/>
  <c r="M85" i="3"/>
  <c r="M91" i="3"/>
  <c r="L91" i="3"/>
  <c r="L85" i="3"/>
  <c r="K85" i="3"/>
  <c r="O30" i="3"/>
  <c r="O38" i="3"/>
  <c r="K30" i="3"/>
  <c r="K38" i="3"/>
  <c r="P30" i="3"/>
  <c r="P38" i="3"/>
  <c r="N30" i="3"/>
  <c r="N38" i="3"/>
  <c r="M30" i="3"/>
  <c r="M38" i="3"/>
  <c r="L20" i="7" l="1"/>
  <c r="K20" i="7"/>
  <c r="J20" i="7"/>
  <c r="I4" i="7"/>
  <c r="J4" i="7"/>
  <c r="K4" i="7"/>
  <c r="L4" i="7"/>
  <c r="K8" i="7" l="1"/>
  <c r="K30" i="7"/>
  <c r="L30" i="7"/>
  <c r="G46" i="1" l="1"/>
  <c r="G56" i="1" s="1"/>
  <c r="G64" i="1" s="1"/>
  <c r="G71" i="1" s="1"/>
  <c r="G45" i="1"/>
  <c r="G55" i="1" s="1"/>
  <c r="G63" i="1" s="1"/>
  <c r="G70" i="1" s="1"/>
  <c r="G44" i="1"/>
  <c r="G54" i="1" s="1"/>
  <c r="G62" i="1" s="1"/>
  <c r="G69" i="1" s="1"/>
  <c r="G43" i="1"/>
  <c r="G53" i="1" s="1"/>
  <c r="G42" i="1"/>
  <c r="G52" i="1" s="1"/>
  <c r="G61" i="1" s="1"/>
  <c r="G41" i="1"/>
  <c r="G40" i="1"/>
  <c r="G39" i="1"/>
  <c r="G50" i="1" s="1"/>
  <c r="G51" i="1" l="1"/>
  <c r="G60" i="1" s="1"/>
  <c r="G68" i="1" s="1"/>
  <c r="G75" i="1" s="1"/>
  <c r="G76" i="1"/>
  <c r="G69" i="3"/>
  <c r="G46" i="3"/>
  <c r="G128" i="3"/>
  <c r="G111" i="3"/>
  <c r="G97" i="3"/>
  <c r="G92" i="3"/>
  <c r="G54" i="3"/>
  <c r="G101" i="3"/>
  <c r="G78" i="3"/>
  <c r="G103" i="3" s="1"/>
  <c r="G73" i="3"/>
  <c r="G66" i="3"/>
  <c r="G61" i="3"/>
  <c r="G43" i="3"/>
  <c r="G31" i="3"/>
  <c r="G22" i="3"/>
  <c r="G86" i="3"/>
  <c r="F5" i="1"/>
  <c r="F3" i="1"/>
  <c r="F4" i="1"/>
  <c r="G99" i="3" l="1"/>
  <c r="D6" i="1"/>
  <c r="D4" i="1"/>
  <c r="D5" i="1"/>
  <c r="I121" i="3"/>
  <c r="H121" i="3"/>
  <c r="G121" i="3"/>
  <c r="I120" i="3"/>
  <c r="H120" i="3"/>
  <c r="G120" i="3"/>
  <c r="A120" i="3"/>
  <c r="A121" i="3"/>
  <c r="G110" i="3"/>
  <c r="A110" i="3"/>
  <c r="G100" i="3"/>
  <c r="A100" i="3"/>
  <c r="I89" i="3"/>
  <c r="H89" i="3"/>
  <c r="G89" i="3"/>
  <c r="A89" i="3"/>
  <c r="D3" i="1"/>
  <c r="I76" i="3"/>
  <c r="H76" i="3"/>
  <c r="G76" i="3"/>
  <c r="A76" i="3"/>
  <c r="I95" i="3"/>
  <c r="H95" i="3"/>
  <c r="G95" i="3"/>
  <c r="A95" i="3"/>
  <c r="I94" i="3"/>
  <c r="G94" i="3"/>
  <c r="I72" i="3"/>
  <c r="H72" i="3"/>
  <c r="G72" i="3"/>
  <c r="A72" i="3"/>
  <c r="I88" i="3"/>
  <c r="G88" i="3"/>
  <c r="I60" i="3"/>
  <c r="G60" i="3"/>
  <c r="I59" i="3"/>
  <c r="G59" i="3"/>
  <c r="I56" i="3"/>
  <c r="G56" i="3"/>
  <c r="I53" i="3"/>
  <c r="H53" i="3"/>
  <c r="P54" i="3" s="1"/>
  <c r="G53" i="3"/>
  <c r="A53" i="3"/>
  <c r="I65" i="3"/>
  <c r="H65" i="3"/>
  <c r="G65" i="3"/>
  <c r="A65" i="3"/>
  <c r="I49" i="3"/>
  <c r="H49" i="3"/>
  <c r="G49" i="3"/>
  <c r="A49" i="3"/>
  <c r="I83" i="3"/>
  <c r="G83" i="3"/>
  <c r="I71" i="3"/>
  <c r="G71" i="3"/>
  <c r="I84" i="3"/>
  <c r="H84" i="3"/>
  <c r="G84" i="3"/>
  <c r="Y14" i="1" l="1" a="1"/>
  <c r="Y14" i="1" s="1"/>
  <c r="M78" i="3"/>
  <c r="O78" i="3"/>
  <c r="P78" i="3"/>
  <c r="K78" i="3"/>
  <c r="L78" i="3"/>
  <c r="N78" i="3"/>
  <c r="T18" i="1" l="1" a="1"/>
  <c r="T18" i="1" s="1"/>
  <c r="P36" i="2" s="1"/>
  <c r="Q18" i="1" a="1"/>
  <c r="Q18" i="1" s="1"/>
  <c r="O36" i="2" s="1"/>
  <c r="K18" i="1" a="1"/>
  <c r="K18" i="1" s="1"/>
  <c r="H18" i="1" a="1"/>
  <c r="H18" i="1" s="1"/>
  <c r="W18" i="1" a="1"/>
  <c r="W18" i="1" s="1"/>
  <c r="Q36" i="2" s="1"/>
  <c r="N18" i="1" a="1"/>
  <c r="N18" i="1" s="1"/>
  <c r="N36" i="2" s="1"/>
  <c r="P103" i="3"/>
  <c r="P105" i="3" s="1"/>
  <c r="O103" i="3"/>
  <c r="O105" i="3" s="1"/>
  <c r="M103" i="3"/>
  <c r="M105" i="3" s="1"/>
  <c r="N103" i="3"/>
  <c r="N105" i="3" s="1"/>
  <c r="L103" i="3"/>
  <c r="L105" i="3" s="1"/>
  <c r="K103" i="3"/>
  <c r="K105" i="3" s="1"/>
  <c r="I42" i="3"/>
  <c r="H42" i="3"/>
  <c r="G42" i="3"/>
  <c r="A42" i="3"/>
  <c r="A37" i="3"/>
  <c r="A36" i="3"/>
  <c r="H36" i="3"/>
  <c r="K39" i="3" s="1"/>
  <c r="I36" i="3"/>
  <c r="G36" i="3"/>
  <c r="I24" i="3"/>
  <c r="H24" i="3"/>
  <c r="H26" i="3" s="1"/>
  <c r="H29" i="3" s="1"/>
  <c r="G24" i="3"/>
  <c r="A24" i="3"/>
  <c r="A20" i="3"/>
  <c r="I20" i="3"/>
  <c r="H20" i="3"/>
  <c r="G20" i="3"/>
  <c r="M36" i="2" l="1"/>
  <c r="J28" i="7"/>
  <c r="J12" i="7"/>
  <c r="R18" i="1" a="1"/>
  <c r="R18" i="1" s="1"/>
  <c r="O18" i="1" a="1"/>
  <c r="O18" i="1" s="1"/>
  <c r="X18" i="1" a="1"/>
  <c r="X18" i="1" s="1"/>
  <c r="U18" i="1" a="1"/>
  <c r="U18" i="1" s="1"/>
  <c r="I18" i="1" a="1"/>
  <c r="I18" i="1" s="1"/>
  <c r="L18" i="1" a="1"/>
  <c r="L18" i="1" s="1"/>
  <c r="P31" i="3"/>
  <c r="O31" i="3"/>
  <c r="N31" i="3"/>
  <c r="M31" i="3"/>
  <c r="K31" i="3"/>
  <c r="L31" i="3"/>
  <c r="P39" i="3"/>
  <c r="P41" i="3" s="1"/>
  <c r="P43" i="3" s="1"/>
  <c r="O39" i="3"/>
  <c r="O41" i="3" s="1"/>
  <c r="O43" i="3" s="1"/>
  <c r="N39" i="3"/>
  <c r="N41" i="3" s="1"/>
  <c r="N43" i="3" s="1"/>
  <c r="M39" i="3"/>
  <c r="M41" i="3" s="1"/>
  <c r="M43" i="3" s="1"/>
  <c r="L39" i="3"/>
  <c r="M22" i="3"/>
  <c r="O22" i="3"/>
  <c r="P22" i="3"/>
  <c r="K22" i="3"/>
  <c r="L22" i="3"/>
  <c r="N22" i="3"/>
  <c r="K12" i="7" l="1"/>
  <c r="X19" i="1" a="1"/>
  <c r="X19" i="1" s="1"/>
  <c r="Q58" i="2" s="1"/>
  <c r="Q59" i="2" s="1"/>
  <c r="Q19" i="1" a="1"/>
  <c r="Q19" i="1" s="1"/>
  <c r="O38" i="2" s="1"/>
  <c r="W19" i="1" a="1"/>
  <c r="W19" i="1" s="1"/>
  <c r="Q38" i="2" s="1"/>
  <c r="U19" i="1" a="1"/>
  <c r="U19" i="1" s="1"/>
  <c r="T19" i="1" a="1"/>
  <c r="T19" i="1" s="1"/>
  <c r="P38" i="2" s="1"/>
  <c r="O19" i="1" a="1"/>
  <c r="O19" i="1" s="1"/>
  <c r="R19" i="1" a="1"/>
  <c r="R19" i="1" s="1"/>
  <c r="K19" i="1" a="1"/>
  <c r="K19" i="1" s="1"/>
  <c r="L19" i="1" a="1"/>
  <c r="L19" i="1" s="1"/>
  <c r="H19" i="1" a="1"/>
  <c r="H19" i="1" s="1"/>
  <c r="I19" i="1" a="1"/>
  <c r="I19" i="1" s="1"/>
  <c r="N19" i="1" a="1"/>
  <c r="N19" i="1" s="1"/>
  <c r="N38" i="2" s="1"/>
  <c r="N13" i="1" a="1"/>
  <c r="N13" i="1" s="1"/>
  <c r="Q13" i="1" a="1"/>
  <c r="Q13" i="1" s="1"/>
  <c r="T13" i="1" a="1"/>
  <c r="T13" i="1" s="1"/>
  <c r="W13" i="1" a="1"/>
  <c r="W13" i="1" s="1"/>
  <c r="M53" i="2"/>
  <c r="Q53" i="2"/>
  <c r="P53" i="2"/>
  <c r="N53" i="2"/>
  <c r="O53" i="2"/>
  <c r="K64" i="3"/>
  <c r="K66" i="3" s="1"/>
  <c r="K48" i="3"/>
  <c r="K50" i="3" s="1"/>
  <c r="K41" i="3"/>
  <c r="K43" i="3" s="1"/>
  <c r="L41" i="3"/>
  <c r="L43" i="3" s="1"/>
  <c r="M38" i="2" l="1"/>
  <c r="J29" i="7"/>
  <c r="H17" i="1" a="1"/>
  <c r="H17" i="1" s="1"/>
  <c r="H13" i="1" a="1"/>
  <c r="H13" i="1" s="1"/>
  <c r="K13" i="1" a="1"/>
  <c r="K13" i="1" s="1"/>
  <c r="Q28" i="2"/>
  <c r="P28" i="2"/>
  <c r="O28" i="2"/>
  <c r="K99" i="3"/>
  <c r="K101" i="3" s="1"/>
  <c r="N28" i="2"/>
  <c r="P58" i="2"/>
  <c r="P59" i="2" s="1"/>
  <c r="L31" i="1"/>
  <c r="M58" i="2"/>
  <c r="M59" i="2" s="1"/>
  <c r="N58" i="2"/>
  <c r="N59" i="2" s="1"/>
  <c r="O58" i="2"/>
  <c r="O59" i="2" s="1"/>
  <c r="U31" i="1"/>
  <c r="X31" i="1"/>
  <c r="K59" i="3"/>
  <c r="R31" i="1"/>
  <c r="R42" i="1"/>
  <c r="R52" i="1" s="1"/>
  <c r="R61" i="1" s="1"/>
  <c r="Q27" i="1"/>
  <c r="Q39" i="1"/>
  <c r="Q50" i="1" s="1"/>
  <c r="O31" i="1"/>
  <c r="O42" i="1"/>
  <c r="O52" i="1" s="1"/>
  <c r="O61" i="1" s="1"/>
  <c r="N31" i="1"/>
  <c r="N42" i="1"/>
  <c r="N52" i="1" s="1"/>
  <c r="N61" i="1" s="1"/>
  <c r="Q31" i="1"/>
  <c r="Q42" i="1"/>
  <c r="Q52" i="1" s="1"/>
  <c r="Q61" i="1" s="1"/>
  <c r="N27" i="1"/>
  <c r="N39" i="1"/>
  <c r="N50" i="1" s="1"/>
  <c r="T27" i="1"/>
  <c r="W27" i="1"/>
  <c r="K31" i="1"/>
  <c r="W31" i="1"/>
  <c r="T31" i="1"/>
  <c r="L86" i="3"/>
  <c r="K71" i="3"/>
  <c r="K83" i="3"/>
  <c r="K86" i="3"/>
  <c r="U42" i="1"/>
  <c r="U52" i="1" s="1"/>
  <c r="U61" i="1" s="1"/>
  <c r="X42" i="1"/>
  <c r="X52" i="1" s="1"/>
  <c r="X61" i="1" s="1"/>
  <c r="V43" i="1"/>
  <c r="V53" i="1" s="1"/>
  <c r="W42" i="1"/>
  <c r="W52" i="1" s="1"/>
  <c r="W61" i="1" s="1"/>
  <c r="T42" i="1"/>
  <c r="T52" i="1" s="1"/>
  <c r="T61" i="1" s="1"/>
  <c r="K13" i="7"/>
  <c r="J7" i="7" l="1"/>
  <c r="J23" i="7"/>
  <c r="I17" i="1" a="1"/>
  <c r="I17" i="1" s="1"/>
  <c r="L52" i="2" s="1"/>
  <c r="M13" i="1" a="1"/>
  <c r="M13" i="1" s="1"/>
  <c r="J13" i="1" a="1"/>
  <c r="J13" i="1" s="1"/>
  <c r="M28" i="2"/>
  <c r="L28" i="2"/>
  <c r="K27" i="1"/>
  <c r="H27" i="1"/>
  <c r="J13" i="7"/>
  <c r="L42" i="1"/>
  <c r="L52" i="1" s="1"/>
  <c r="L61" i="1" s="1"/>
  <c r="M43" i="1"/>
  <c r="M53" i="1" s="1"/>
  <c r="K42" i="1"/>
  <c r="K52" i="1" s="1"/>
  <c r="K61" i="1" s="1"/>
  <c r="H122" i="3"/>
  <c r="H21" i="1"/>
  <c r="L53" i="2"/>
  <c r="P64" i="3"/>
  <c r="O64" i="3"/>
  <c r="N48" i="3"/>
  <c r="M48" i="3"/>
  <c r="M50" i="3" s="1"/>
  <c r="M59" i="3" s="1"/>
  <c r="I64" i="3"/>
  <c r="G64" i="3"/>
  <c r="I48" i="3"/>
  <c r="G48" i="3"/>
  <c r="L13" i="1" l="1"/>
  <c r="L58" i="2"/>
  <c r="L59" i="2" s="1"/>
  <c r="L49" i="2"/>
  <c r="L40" i="2"/>
  <c r="M11" i="2"/>
  <c r="L11" i="2"/>
  <c r="H33" i="1"/>
  <c r="M27" i="1"/>
  <c r="I31" i="1"/>
  <c r="I30" i="1"/>
  <c r="I13" i="1"/>
  <c r="J27" i="1"/>
  <c r="J39" i="1"/>
  <c r="J50" i="1" s="1"/>
  <c r="O124" i="3"/>
  <c r="O127" i="3" s="1"/>
  <c r="K124" i="3"/>
  <c r="L124" i="3"/>
  <c r="L127" i="3" s="1"/>
  <c r="M124" i="3"/>
  <c r="M127" i="3" s="1"/>
  <c r="N124" i="3"/>
  <c r="N127" i="3" s="1"/>
  <c r="P124" i="3"/>
  <c r="P127" i="3" s="1"/>
  <c r="H44" i="1"/>
  <c r="H54" i="1" s="1"/>
  <c r="H62" i="1" s="1"/>
  <c r="H69" i="1" s="1"/>
  <c r="I20" i="98" s="1"/>
  <c r="I42" i="1"/>
  <c r="I52" i="1" s="1"/>
  <c r="I61" i="1" s="1"/>
  <c r="L64" i="3"/>
  <c r="L66" i="3" s="1"/>
  <c r="H22" i="1"/>
  <c r="P48" i="3"/>
  <c r="O48" i="3"/>
  <c r="M64" i="3"/>
  <c r="M66" i="3" s="1"/>
  <c r="N64" i="3"/>
  <c r="N66" i="3" s="1"/>
  <c r="L48" i="3"/>
  <c r="N50" i="3"/>
  <c r="N59" i="3" s="1"/>
  <c r="P66" i="3"/>
  <c r="O66" i="3"/>
  <c r="K73" i="3"/>
  <c r="Q17" i="1" l="1" a="1"/>
  <c r="Q17" i="1" s="1"/>
  <c r="N17" i="1" a="1"/>
  <c r="N17" i="1" s="1"/>
  <c r="K17" i="1" a="1"/>
  <c r="K17" i="1" s="1"/>
  <c r="H16" i="1" a="1"/>
  <c r="H16" i="1" s="1"/>
  <c r="T17" i="1" a="1"/>
  <c r="T17" i="1" s="1"/>
  <c r="P32" i="2" s="1"/>
  <c r="W17" i="1" a="1"/>
  <c r="W17" i="1" s="1"/>
  <c r="M48" i="2"/>
  <c r="L48" i="2"/>
  <c r="L32" i="2"/>
  <c r="L36" i="2"/>
  <c r="L54" i="2"/>
  <c r="L41" i="2"/>
  <c r="I20" i="42"/>
  <c r="K54" i="39" s="1"/>
  <c r="I27" i="1"/>
  <c r="L27" i="1"/>
  <c r="L17" i="2"/>
  <c r="H34" i="1"/>
  <c r="J32" i="1"/>
  <c r="H30" i="1"/>
  <c r="P99" i="3"/>
  <c r="P101" i="3" s="1"/>
  <c r="N99" i="3"/>
  <c r="N101" i="3" s="1"/>
  <c r="M99" i="3"/>
  <c r="M101" i="3" s="1"/>
  <c r="O99" i="3"/>
  <c r="O101" i="3" s="1"/>
  <c r="L99" i="3"/>
  <c r="L101" i="3" s="1"/>
  <c r="N86" i="3"/>
  <c r="K94" i="3"/>
  <c r="K97" i="3" s="1"/>
  <c r="P86" i="3"/>
  <c r="O86" i="3"/>
  <c r="M86" i="3"/>
  <c r="K127" i="3"/>
  <c r="K128" i="3" s="1"/>
  <c r="I14" i="7"/>
  <c r="H45" i="1"/>
  <c r="H55" i="1" s="1"/>
  <c r="H63" i="1" s="1"/>
  <c r="H70" i="1" s="1"/>
  <c r="I23" i="98" s="1"/>
  <c r="J43" i="1"/>
  <c r="J53" i="1" s="1"/>
  <c r="L71" i="3"/>
  <c r="L83" i="3"/>
  <c r="N71" i="3"/>
  <c r="N83" i="3"/>
  <c r="P71" i="3"/>
  <c r="P83" i="3"/>
  <c r="O71" i="3"/>
  <c r="O83" i="3"/>
  <c r="M83" i="3"/>
  <c r="M71" i="3"/>
  <c r="J17" i="1"/>
  <c r="J18" i="1"/>
  <c r="P50" i="3"/>
  <c r="P59" i="3" s="1"/>
  <c r="O50" i="3"/>
  <c r="O59" i="3" s="1"/>
  <c r="L50" i="3"/>
  <c r="M32" i="2" l="1"/>
  <c r="J27" i="7"/>
  <c r="J11" i="7"/>
  <c r="I23" i="42"/>
  <c r="K55" i="39" s="1"/>
  <c r="K56" i="39" s="1"/>
  <c r="K58" i="39" s="1"/>
  <c r="K64" i="39" s="1"/>
  <c r="J22" i="1" a="1"/>
  <c r="J22" i="1" s="1"/>
  <c r="R17" i="1" a="1"/>
  <c r="R17" i="1" s="1"/>
  <c r="V13" i="1" a="1"/>
  <c r="V13" i="1" s="1"/>
  <c r="Y13" i="1" a="1"/>
  <c r="Y13" i="1" s="1"/>
  <c r="Y27" i="1" s="1"/>
  <c r="M18" i="1"/>
  <c r="P13" i="1" a="1"/>
  <c r="P13" i="1" s="1"/>
  <c r="S13" i="1" a="1"/>
  <c r="S13" i="1" s="1"/>
  <c r="L23" i="7" s="1"/>
  <c r="L17" i="1" a="1"/>
  <c r="L17" i="1" s="1"/>
  <c r="Q32" i="2"/>
  <c r="U17" i="1" a="1"/>
  <c r="U17" i="1" s="1"/>
  <c r="X17" i="1" a="1"/>
  <c r="X17" i="1" s="1"/>
  <c r="J16" i="1" a="1"/>
  <c r="J16" i="1" s="1"/>
  <c r="O17" i="1" a="1"/>
  <c r="O17" i="1" s="1"/>
  <c r="N30" i="1"/>
  <c r="N32" i="2"/>
  <c r="Q30" i="1"/>
  <c r="O32" i="2"/>
  <c r="L59" i="3"/>
  <c r="L16" i="2"/>
  <c r="L15" i="2"/>
  <c r="W30" i="1"/>
  <c r="T30" i="1"/>
  <c r="K30" i="1"/>
  <c r="J30" i="1"/>
  <c r="L128" i="3"/>
  <c r="W39" i="1"/>
  <c r="W50" i="1" s="1"/>
  <c r="M39" i="1"/>
  <c r="M50" i="1" s="1"/>
  <c r="K39" i="1"/>
  <c r="K50" i="1" s="1"/>
  <c r="T39" i="1"/>
  <c r="T50" i="1" s="1"/>
  <c r="P52" i="3"/>
  <c r="O54" i="3" s="1"/>
  <c r="O52" i="3"/>
  <c r="N54" i="3" s="1"/>
  <c r="N52" i="3"/>
  <c r="M54" i="3" s="1"/>
  <c r="M52" i="3"/>
  <c r="L54" i="3" s="1"/>
  <c r="L52" i="3"/>
  <c r="K54" i="3" s="1"/>
  <c r="K52" i="3"/>
  <c r="I52" i="3"/>
  <c r="G52" i="3"/>
  <c r="O13" i="1" l="1"/>
  <c r="I7" i="7"/>
  <c r="K23" i="7"/>
  <c r="I23" i="7" s="1"/>
  <c r="P18" i="1"/>
  <c r="M17" i="1"/>
  <c r="K11" i="7"/>
  <c r="Y39" i="1"/>
  <c r="Y50" i="1" s="1"/>
  <c r="M22" i="1" a="1"/>
  <c r="M22" i="1" s="1"/>
  <c r="K22" i="1"/>
  <c r="R13" i="1"/>
  <c r="K7" i="7" s="1"/>
  <c r="U13" i="1"/>
  <c r="S14" i="1" a="1"/>
  <c r="S14" i="1" s="1"/>
  <c r="J14" i="1" a="1"/>
  <c r="J14" i="1" s="1"/>
  <c r="M14" i="1" a="1"/>
  <c r="M14" i="1" s="1"/>
  <c r="X13" i="1"/>
  <c r="V14" i="1" a="1"/>
  <c r="V14" i="1" s="1"/>
  <c r="P14" i="1" a="1"/>
  <c r="P14" i="1" s="1"/>
  <c r="O52" i="2"/>
  <c r="L61" i="2"/>
  <c r="L62" i="2" s="1"/>
  <c r="N52" i="2"/>
  <c r="M52" i="2"/>
  <c r="L35" i="2"/>
  <c r="L34" i="2" s="1"/>
  <c r="L38" i="2"/>
  <c r="P52" i="2"/>
  <c r="Q52" i="2"/>
  <c r="R30" i="1"/>
  <c r="O30" i="1"/>
  <c r="P27" i="1"/>
  <c r="P39" i="1"/>
  <c r="P50" i="1" s="1"/>
  <c r="M128" i="3"/>
  <c r="S27" i="1"/>
  <c r="S39" i="1"/>
  <c r="S50" i="1" s="1"/>
  <c r="P11" i="2"/>
  <c r="M16" i="2"/>
  <c r="N11" i="2"/>
  <c r="L22" i="2"/>
  <c r="Q11" i="2"/>
  <c r="O11" i="2"/>
  <c r="J34" i="1"/>
  <c r="H31" i="1"/>
  <c r="V27" i="1"/>
  <c r="L30" i="1"/>
  <c r="U30" i="1"/>
  <c r="X30" i="1"/>
  <c r="I22" i="1"/>
  <c r="V39" i="1"/>
  <c r="V50" i="1" s="1"/>
  <c r="J45" i="1"/>
  <c r="J55" i="1" s="1"/>
  <c r="J63" i="1" s="1"/>
  <c r="J70" i="1" s="1"/>
  <c r="I13" i="98" s="1"/>
  <c r="H39" i="1"/>
  <c r="H50" i="1" s="1"/>
  <c r="L39" i="1"/>
  <c r="L50" i="1" s="1"/>
  <c r="H42" i="1"/>
  <c r="H52" i="1" s="1"/>
  <c r="H61" i="1" s="1"/>
  <c r="H41" i="1"/>
  <c r="M56" i="3"/>
  <c r="N56" i="3"/>
  <c r="P56" i="3"/>
  <c r="O56" i="3"/>
  <c r="K56" i="3"/>
  <c r="K57" i="3" s="1"/>
  <c r="L56" i="3"/>
  <c r="J19" i="1"/>
  <c r="P73" i="3"/>
  <c r="O73" i="3"/>
  <c r="L73" i="3"/>
  <c r="N73" i="3"/>
  <c r="M73" i="3"/>
  <c r="L7" i="7" l="1"/>
  <c r="L24" i="7"/>
  <c r="S18" i="1"/>
  <c r="I12" i="7"/>
  <c r="K28" i="7"/>
  <c r="K24" i="7"/>
  <c r="I8" i="7"/>
  <c r="P17" i="1"/>
  <c r="N14" i="1"/>
  <c r="P22" i="1" a="1"/>
  <c r="P22" i="1" s="1"/>
  <c r="L22" i="1"/>
  <c r="N22" i="1"/>
  <c r="W14" i="1"/>
  <c r="T14" i="1"/>
  <c r="Q14" i="1"/>
  <c r="O30" i="2" s="1"/>
  <c r="N16" i="1" a="1"/>
  <c r="N16" i="1" s="1"/>
  <c r="Q16" i="1" a="1"/>
  <c r="Q16" i="1" s="1"/>
  <c r="K16" i="1" a="1"/>
  <c r="K16" i="1" s="1"/>
  <c r="T16" i="1" a="1"/>
  <c r="T16" i="1" s="1"/>
  <c r="P35" i="2" s="1"/>
  <c r="P34" i="2" s="1"/>
  <c r="K14" i="1"/>
  <c r="W16" i="1" a="1"/>
  <c r="W16" i="1" s="1"/>
  <c r="Q35" i="2" s="1"/>
  <c r="Q34" i="2" s="1"/>
  <c r="M19" i="1"/>
  <c r="P48" i="2"/>
  <c r="Y28" i="1"/>
  <c r="H14" i="1"/>
  <c r="M54" i="2"/>
  <c r="M41" i="2"/>
  <c r="M61" i="2"/>
  <c r="M62" i="2" s="1"/>
  <c r="Q48" i="2"/>
  <c r="N48" i="2"/>
  <c r="O48" i="2"/>
  <c r="N128" i="3"/>
  <c r="I13" i="42"/>
  <c r="U39" i="1"/>
  <c r="U50" i="1" s="1"/>
  <c r="K60" i="3"/>
  <c r="K61" i="3" s="1"/>
  <c r="O27" i="1"/>
  <c r="O39" i="1"/>
  <c r="O50" i="1" s="1"/>
  <c r="R27" i="1"/>
  <c r="R39" i="1"/>
  <c r="R50" i="1" s="1"/>
  <c r="S28" i="1"/>
  <c r="P28" i="1"/>
  <c r="O12" i="2"/>
  <c r="M22" i="2"/>
  <c r="N12" i="2"/>
  <c r="L14" i="2"/>
  <c r="L12" i="2"/>
  <c r="Q12" i="2"/>
  <c r="M15" i="2"/>
  <c r="L18" i="2"/>
  <c r="I34" i="1"/>
  <c r="P12" i="2"/>
  <c r="U27" i="1"/>
  <c r="X27" i="1"/>
  <c r="N16" i="2"/>
  <c r="K34" i="1"/>
  <c r="V28" i="1"/>
  <c r="I16" i="1"/>
  <c r="M45" i="1"/>
  <c r="M55" i="1" s="1"/>
  <c r="M63" i="1" s="1"/>
  <c r="M70" i="1" s="1"/>
  <c r="J13" i="98" s="1"/>
  <c r="J31" i="1"/>
  <c r="M34" i="1"/>
  <c r="M30" i="1"/>
  <c r="J28" i="1"/>
  <c r="X39" i="1"/>
  <c r="X50" i="1" s="1"/>
  <c r="K45" i="1"/>
  <c r="K55" i="1" s="1"/>
  <c r="K63" i="1" s="1"/>
  <c r="K70" i="1" s="1"/>
  <c r="J23" i="98" s="1"/>
  <c r="J41" i="1"/>
  <c r="I39" i="1"/>
  <c r="I50" i="1" s="1"/>
  <c r="J42" i="1"/>
  <c r="J52" i="1" s="1"/>
  <c r="J61" i="1" s="1"/>
  <c r="O57" i="3"/>
  <c r="O60" i="3" s="1"/>
  <c r="O61" i="3" s="1"/>
  <c r="N57" i="3"/>
  <c r="N60" i="3" s="1"/>
  <c r="N61" i="3" s="1"/>
  <c r="L94" i="3"/>
  <c r="L97" i="3" s="1"/>
  <c r="O94" i="3"/>
  <c r="O97" i="3" s="1"/>
  <c r="P94" i="3"/>
  <c r="P97" i="3" s="1"/>
  <c r="N94" i="3"/>
  <c r="N97" i="3" s="1"/>
  <c r="M94" i="3"/>
  <c r="M97" i="3" s="1"/>
  <c r="M57" i="3"/>
  <c r="M60" i="3" s="1"/>
  <c r="M61" i="3" s="1"/>
  <c r="P57" i="3"/>
  <c r="P60" i="3" s="1"/>
  <c r="P61" i="3" s="1"/>
  <c r="L57" i="3"/>
  <c r="L60" i="3" s="1"/>
  <c r="L61" i="3" s="1"/>
  <c r="K88" i="3" l="1"/>
  <c r="K92" i="3" s="1"/>
  <c r="J40" i="98"/>
  <c r="S17" i="1"/>
  <c r="S30" i="1" s="1"/>
  <c r="K27" i="7"/>
  <c r="I11" i="7"/>
  <c r="L11" i="7" s="1"/>
  <c r="V18" i="1"/>
  <c r="Y18" i="1" s="1"/>
  <c r="L28" i="7"/>
  <c r="I28" i="7" s="1"/>
  <c r="K32" i="7"/>
  <c r="I16" i="7"/>
  <c r="P30" i="1"/>
  <c r="P19" i="1"/>
  <c r="J24" i="7"/>
  <c r="J8" i="7"/>
  <c r="M35" i="2"/>
  <c r="M34" i="2" s="1"/>
  <c r="J26" i="7"/>
  <c r="J10" i="7"/>
  <c r="O128" i="3"/>
  <c r="J23" i="42"/>
  <c r="L55" i="39" s="1"/>
  <c r="Q22" i="1"/>
  <c r="O22" i="1"/>
  <c r="S22" i="1" a="1"/>
  <c r="S22" i="1" s="1"/>
  <c r="Y16" i="1" a="1"/>
  <c r="Y16" i="1" s="1"/>
  <c r="V16" i="1" a="1"/>
  <c r="V16" i="1" s="1"/>
  <c r="H15" i="1" a="1"/>
  <c r="H15" i="1" s="1"/>
  <c r="L31" i="2" s="1"/>
  <c r="M16" i="1" a="1"/>
  <c r="M16" i="1" s="1"/>
  <c r="Q15" i="1" a="1"/>
  <c r="Q15" i="1" s="1"/>
  <c r="S16" i="1" a="1"/>
  <c r="S16" i="1" s="1"/>
  <c r="S41" i="1" s="1"/>
  <c r="K15" i="1" a="1"/>
  <c r="K15" i="1" s="1"/>
  <c r="W15" i="1" a="1"/>
  <c r="W15" i="1" s="1"/>
  <c r="Q31" i="2" s="1"/>
  <c r="T15" i="1" a="1"/>
  <c r="T15" i="1" s="1"/>
  <c r="P31" i="2" s="1"/>
  <c r="N15" i="1" a="1"/>
  <c r="N15" i="1" s="1"/>
  <c r="P16" i="1" a="1"/>
  <c r="P16" i="1" s="1"/>
  <c r="Q30" i="2"/>
  <c r="P30" i="2"/>
  <c r="Q41" i="1"/>
  <c r="O35" i="2"/>
  <c r="O34" i="2" s="1"/>
  <c r="I41" i="1"/>
  <c r="L51" i="2"/>
  <c r="N41" i="1"/>
  <c r="N35" i="2"/>
  <c r="N34" i="2" s="1"/>
  <c r="N61" i="2"/>
  <c r="N62" i="2" s="1"/>
  <c r="N54" i="2"/>
  <c r="N41" i="2"/>
  <c r="L30" i="2"/>
  <c r="J13" i="42"/>
  <c r="N22" i="2"/>
  <c r="P45" i="1"/>
  <c r="P55" i="1" s="1"/>
  <c r="P63" i="1" s="1"/>
  <c r="P70" i="1" s="1"/>
  <c r="K13" i="98" s="1"/>
  <c r="P34" i="1"/>
  <c r="N34" i="1"/>
  <c r="N45" i="1"/>
  <c r="N55" i="1" s="1"/>
  <c r="N63" i="1" s="1"/>
  <c r="N70" i="1" s="1"/>
  <c r="K23" i="98" s="1"/>
  <c r="Q28" i="1"/>
  <c r="O16" i="2"/>
  <c r="N15" i="2"/>
  <c r="M18" i="2"/>
  <c r="T28" i="1"/>
  <c r="W28" i="1"/>
  <c r="H28" i="1"/>
  <c r="T41" i="1"/>
  <c r="L34" i="1"/>
  <c r="M31" i="1"/>
  <c r="L45" i="1"/>
  <c r="L55" i="1" s="1"/>
  <c r="L63" i="1" s="1"/>
  <c r="L70" i="1" s="1"/>
  <c r="L88" i="3"/>
  <c r="L92" i="3" s="1"/>
  <c r="P88" i="3"/>
  <c r="P92" i="3" s="1"/>
  <c r="M88" i="3"/>
  <c r="M92" i="3" s="1"/>
  <c r="P128" i="3"/>
  <c r="N88" i="3"/>
  <c r="N92" i="3" s="1"/>
  <c r="O88" i="3"/>
  <c r="O92" i="3" s="1"/>
  <c r="L12" i="7"/>
  <c r="M42" i="1"/>
  <c r="M52" i="1" s="1"/>
  <c r="M61" i="1" s="1"/>
  <c r="K41" i="1"/>
  <c r="W41" i="1"/>
  <c r="K40" i="98" l="1"/>
  <c r="L85" i="1"/>
  <c r="J33" i="99" s="1"/>
  <c r="J33" i="98"/>
  <c r="J66" i="98" s="1"/>
  <c r="O61" i="2"/>
  <c r="O62" i="2" s="1"/>
  <c r="L32" i="7"/>
  <c r="S19" i="1"/>
  <c r="I13" i="7"/>
  <c r="L13" i="7" s="1"/>
  <c r="K29" i="7"/>
  <c r="K26" i="7"/>
  <c r="I10" i="7"/>
  <c r="Q34" i="1"/>
  <c r="J32" i="7"/>
  <c r="J16" i="7"/>
  <c r="S34" i="1"/>
  <c r="V17" i="1"/>
  <c r="Y17" i="1" s="1"/>
  <c r="L27" i="7"/>
  <c r="I27" i="7" s="1"/>
  <c r="S45" i="1"/>
  <c r="S55" i="1" s="1"/>
  <c r="S63" i="1" s="1"/>
  <c r="S70" i="1" s="1"/>
  <c r="L13" i="98" s="1"/>
  <c r="O22" i="2"/>
  <c r="V22" i="1" a="1"/>
  <c r="V22" i="1" s="1"/>
  <c r="W22" i="1" s="1"/>
  <c r="L16" i="1"/>
  <c r="L26" i="7"/>
  <c r="M31" i="2"/>
  <c r="J25" i="7"/>
  <c r="J9" i="7"/>
  <c r="H40" i="1"/>
  <c r="H51" i="1" s="1"/>
  <c r="H29" i="1"/>
  <c r="O41" i="2"/>
  <c r="O54" i="2"/>
  <c r="Q45" i="1"/>
  <c r="Q55" i="1" s="1"/>
  <c r="Q63" i="1" s="1"/>
  <c r="Q70" i="1" s="1"/>
  <c r="O16" i="1"/>
  <c r="J33" i="42"/>
  <c r="K23" i="42"/>
  <c r="M55" i="39" s="1"/>
  <c r="P41" i="1"/>
  <c r="Y22" i="1" a="1"/>
  <c r="Y22" i="1" s="1"/>
  <c r="Y34" i="1" s="1"/>
  <c r="R22" i="1"/>
  <c r="T22" i="1"/>
  <c r="P41" i="2" s="1"/>
  <c r="R16" i="1"/>
  <c r="J15" i="1" a="1"/>
  <c r="J15" i="1" s="1"/>
  <c r="U16" i="1"/>
  <c r="X16" i="1"/>
  <c r="Y15" i="1" a="1"/>
  <c r="Y15" i="1" s="1"/>
  <c r="Y29" i="1" s="1"/>
  <c r="Q29" i="2"/>
  <c r="Q33" i="2" s="1"/>
  <c r="Q37" i="2" s="1"/>
  <c r="Q39" i="2" s="1"/>
  <c r="P29" i="2"/>
  <c r="P33" i="2" s="1"/>
  <c r="P37" i="2" s="1"/>
  <c r="P39" i="2" s="1"/>
  <c r="Y41" i="1"/>
  <c r="N29" i="1"/>
  <c r="N31" i="2"/>
  <c r="Q29" i="1"/>
  <c r="O31" i="2"/>
  <c r="O29" i="2" s="1"/>
  <c r="O33" i="2" s="1"/>
  <c r="O37" i="2" s="1"/>
  <c r="O39" i="2" s="1"/>
  <c r="K13" i="42"/>
  <c r="P31" i="1"/>
  <c r="P42" i="1"/>
  <c r="P52" i="1" s="1"/>
  <c r="P61" i="1" s="1"/>
  <c r="Q40" i="1"/>
  <c r="Q51" i="1" s="1"/>
  <c r="O34" i="1"/>
  <c r="O45" i="1"/>
  <c r="O55" i="1" s="1"/>
  <c r="O63" i="1" s="1"/>
  <c r="O70" i="1" s="1"/>
  <c r="M14" i="2"/>
  <c r="N14" i="2"/>
  <c r="O15" i="2"/>
  <c r="P14" i="2"/>
  <c r="N18" i="2"/>
  <c r="Q14" i="2"/>
  <c r="O14" i="2"/>
  <c r="P16" i="2"/>
  <c r="K29" i="1"/>
  <c r="T40" i="1"/>
  <c r="T51" i="1" s="1"/>
  <c r="T29" i="1"/>
  <c r="W29" i="1"/>
  <c r="M41" i="1"/>
  <c r="W40" i="1"/>
  <c r="W51" i="1" s="1"/>
  <c r="P22" i="2" l="1"/>
  <c r="J66" i="42"/>
  <c r="I26" i="7"/>
  <c r="L100" i="1"/>
  <c r="O85" i="1"/>
  <c r="K33" i="99" s="1"/>
  <c r="K33" i="98"/>
  <c r="K66" i="98" s="1"/>
  <c r="L13" i="42"/>
  <c r="L23" i="42"/>
  <c r="N55" i="39" s="1"/>
  <c r="L23" i="98"/>
  <c r="V34" i="1"/>
  <c r="I32" i="7"/>
  <c r="P54" i="2"/>
  <c r="R34" i="1"/>
  <c r="K16" i="7"/>
  <c r="L16" i="7" s="1"/>
  <c r="K10" i="7"/>
  <c r="L10" i="7" s="1"/>
  <c r="V19" i="1"/>
  <c r="Y19" i="1" s="1"/>
  <c r="L29" i="7"/>
  <c r="I29" i="7" s="1"/>
  <c r="V45" i="1"/>
  <c r="V55" i="1" s="1"/>
  <c r="V63" i="1" s="1"/>
  <c r="V70" i="1" s="1"/>
  <c r="P61" i="2"/>
  <c r="P62" i="2" s="1"/>
  <c r="R45" i="1"/>
  <c r="R55" i="1" s="1"/>
  <c r="R63" i="1" s="1"/>
  <c r="R70" i="1" s="1"/>
  <c r="Q61" i="2"/>
  <c r="T45" i="1"/>
  <c r="T55" i="1" s="1"/>
  <c r="T63" i="1" s="1"/>
  <c r="T70" i="1" s="1"/>
  <c r="Y45" i="1"/>
  <c r="Y55" i="1" s="1"/>
  <c r="Y63" i="1" s="1"/>
  <c r="Y70" i="1" s="1"/>
  <c r="T34" i="1"/>
  <c r="K33" i="42"/>
  <c r="X22" i="1"/>
  <c r="U22" i="1"/>
  <c r="U34" i="1" s="1"/>
  <c r="V15" i="1" a="1"/>
  <c r="V15" i="1" s="1"/>
  <c r="P15" i="1" a="1"/>
  <c r="P15" i="1" s="1"/>
  <c r="K25" i="7" s="1"/>
  <c r="S15" i="1" a="1"/>
  <c r="S15" i="1" s="1"/>
  <c r="M15" i="1" a="1"/>
  <c r="M15" i="1" s="1"/>
  <c r="N51" i="2"/>
  <c r="O51" i="2"/>
  <c r="Y30" i="1"/>
  <c r="Y40" i="1"/>
  <c r="Y51" i="1" s="1"/>
  <c r="Y60" i="1" s="1"/>
  <c r="P51" i="2"/>
  <c r="Q51" i="2"/>
  <c r="M51" i="2"/>
  <c r="Q54" i="2"/>
  <c r="Q41" i="2"/>
  <c r="R41" i="1"/>
  <c r="O41" i="1"/>
  <c r="S31" i="1"/>
  <c r="S42" i="1"/>
  <c r="S52" i="1" s="1"/>
  <c r="S61" i="1" s="1"/>
  <c r="Q13" i="2"/>
  <c r="Q16" i="2"/>
  <c r="L13" i="2"/>
  <c r="P15" i="2"/>
  <c r="Q22" i="2"/>
  <c r="O18" i="2"/>
  <c r="V30" i="1"/>
  <c r="J29" i="1"/>
  <c r="W45" i="1"/>
  <c r="W55" i="1" s="1"/>
  <c r="W63" i="1" s="1"/>
  <c r="W70" i="1" s="1"/>
  <c r="N23" i="98" s="1"/>
  <c r="W34" i="1"/>
  <c r="J40" i="1"/>
  <c r="J51" i="1" s="1"/>
  <c r="J60" i="1" s="1"/>
  <c r="J68" i="1" s="1"/>
  <c r="I9" i="98" s="1"/>
  <c r="I15" i="1"/>
  <c r="V41" i="1"/>
  <c r="X41" i="1"/>
  <c r="U41" i="1"/>
  <c r="L41" i="1"/>
  <c r="O100" i="1" l="1"/>
  <c r="K66" i="42"/>
  <c r="Y100" i="1"/>
  <c r="N13" i="98"/>
  <c r="M23" i="42"/>
  <c r="O55" i="39" s="1"/>
  <c r="M23" i="98"/>
  <c r="P23" i="98" s="1"/>
  <c r="R85" i="1"/>
  <c r="R100" i="1" s="1"/>
  <c r="L33" i="98"/>
  <c r="L66" i="98" s="1"/>
  <c r="M13" i="42"/>
  <c r="M13" i="98"/>
  <c r="L40" i="98"/>
  <c r="I9" i="7"/>
  <c r="Q62" i="2"/>
  <c r="L33" i="42"/>
  <c r="L15" i="1"/>
  <c r="L25" i="7"/>
  <c r="I25" i="7" s="1"/>
  <c r="U45" i="1"/>
  <c r="U55" i="1" s="1"/>
  <c r="U63" i="1" s="1"/>
  <c r="U70" i="1" s="1"/>
  <c r="N23" i="42"/>
  <c r="P55" i="39" s="1"/>
  <c r="O15" i="1"/>
  <c r="U15" i="1"/>
  <c r="X15" i="1"/>
  <c r="R15" i="1"/>
  <c r="L50" i="2"/>
  <c r="Y42" i="1"/>
  <c r="Y52" i="1" s="1"/>
  <c r="Y61" i="1" s="1"/>
  <c r="Y68" i="1" s="1"/>
  <c r="N9" i="98" s="1"/>
  <c r="Y31" i="1"/>
  <c r="I9" i="42"/>
  <c r="N13" i="42"/>
  <c r="P29" i="1"/>
  <c r="P40" i="1"/>
  <c r="P51" i="1" s="1"/>
  <c r="P60" i="1" s="1"/>
  <c r="P68" i="1" s="1"/>
  <c r="K9" i="98" s="1"/>
  <c r="S29" i="1"/>
  <c r="S40" i="1"/>
  <c r="S51" i="1" s="1"/>
  <c r="S60" i="1" s="1"/>
  <c r="S68" i="1" s="1"/>
  <c r="L9" i="98" s="1"/>
  <c r="N13" i="2"/>
  <c r="I29" i="1"/>
  <c r="P18" i="2"/>
  <c r="M13" i="2"/>
  <c r="P13" i="2"/>
  <c r="Q15" i="2"/>
  <c r="O13" i="2"/>
  <c r="V29" i="1"/>
  <c r="M29" i="1"/>
  <c r="X34" i="1"/>
  <c r="V31" i="1"/>
  <c r="I40" i="1"/>
  <c r="I51" i="1" s="1"/>
  <c r="V40" i="1"/>
  <c r="V51" i="1" s="1"/>
  <c r="V60" i="1" s="1"/>
  <c r="X45" i="1"/>
  <c r="X55" i="1" s="1"/>
  <c r="X63" i="1" s="1"/>
  <c r="X70" i="1" s="1"/>
  <c r="V42" i="1"/>
  <c r="V52" i="1" s="1"/>
  <c r="V61" i="1" s="1"/>
  <c r="I45" i="1"/>
  <c r="I55" i="1" s="1"/>
  <c r="I63" i="1" s="1"/>
  <c r="I70" i="1" s="1"/>
  <c r="I33" i="98" s="1"/>
  <c r="I66" i="98" s="1"/>
  <c r="L10" i="2"/>
  <c r="L9" i="2" s="1"/>
  <c r="L29" i="2"/>
  <c r="H20" i="1"/>
  <c r="L66" i="42" l="1"/>
  <c r="L33" i="99"/>
  <c r="X85" i="1"/>
  <c r="N33" i="99" s="1"/>
  <c r="N33" i="98"/>
  <c r="N66" i="98" s="1"/>
  <c r="P13" i="98"/>
  <c r="M40" i="98"/>
  <c r="I56" i="98"/>
  <c r="J56" i="98" s="1"/>
  <c r="K56" i="98" s="1"/>
  <c r="L56" i="98" s="1"/>
  <c r="U85" i="1"/>
  <c r="M33" i="99" s="1"/>
  <c r="M33" i="98"/>
  <c r="M66" i="98" s="1"/>
  <c r="N40" i="98"/>
  <c r="K9" i="7"/>
  <c r="L9" i="7" s="1"/>
  <c r="P23" i="42"/>
  <c r="P13" i="42"/>
  <c r="M33" i="42"/>
  <c r="Y98" i="1"/>
  <c r="V68" i="1"/>
  <c r="M9" i="98" s="1"/>
  <c r="N33" i="42"/>
  <c r="I33" i="42"/>
  <c r="M50" i="2"/>
  <c r="N50" i="2"/>
  <c r="P50" i="2"/>
  <c r="O50" i="2"/>
  <c r="Q50" i="2"/>
  <c r="L43" i="2"/>
  <c r="L9" i="42"/>
  <c r="K9" i="42"/>
  <c r="R29" i="1"/>
  <c r="R40" i="1"/>
  <c r="R51" i="1" s="1"/>
  <c r="O29" i="1"/>
  <c r="O40" i="1"/>
  <c r="O51" i="1" s="1"/>
  <c r="Q18" i="2"/>
  <c r="L29" i="1"/>
  <c r="L40" i="1"/>
  <c r="L51" i="1" s="1"/>
  <c r="X29" i="1"/>
  <c r="U40" i="1"/>
  <c r="U51" i="1" s="1"/>
  <c r="U29" i="1"/>
  <c r="I20" i="1"/>
  <c r="H32" i="1"/>
  <c r="X40" i="1"/>
  <c r="X51" i="1" s="1"/>
  <c r="H43" i="1"/>
  <c r="H53" i="1" s="1"/>
  <c r="H60" i="1" s="1"/>
  <c r="H68" i="1" s="1"/>
  <c r="I19" i="98" s="1"/>
  <c r="H23" i="1"/>
  <c r="L33" i="2"/>
  <c r="L37" i="2" s="1"/>
  <c r="V85" i="1" l="1"/>
  <c r="M13" i="99" s="1"/>
  <c r="N66" i="42"/>
  <c r="M66" i="42"/>
  <c r="U100" i="1"/>
  <c r="P33" i="98"/>
  <c r="M56" i="98"/>
  <c r="M57" i="98"/>
  <c r="I21" i="98"/>
  <c r="H24" i="39"/>
  <c r="F24" i="39"/>
  <c r="F46" i="39"/>
  <c r="AE19" i="91" s="1"/>
  <c r="P33" i="42"/>
  <c r="X100" i="1"/>
  <c r="H75" i="1"/>
  <c r="L55" i="2"/>
  <c r="L56" i="2" s="1"/>
  <c r="I19" i="42"/>
  <c r="I32" i="1"/>
  <c r="H35" i="1"/>
  <c r="H46" i="1"/>
  <c r="H56" i="1" s="1"/>
  <c r="H64" i="1" s="1"/>
  <c r="H71" i="1" s="1"/>
  <c r="I24" i="98" s="1"/>
  <c r="I43" i="1"/>
  <c r="I53" i="1" s="1"/>
  <c r="I60" i="1" s="1"/>
  <c r="I68" i="1" s="1"/>
  <c r="I29" i="98" s="1"/>
  <c r="N10" i="2"/>
  <c r="N9" i="2" s="1"/>
  <c r="I65" i="98" l="1"/>
  <c r="I67" i="98" s="1"/>
  <c r="I75" i="98" s="1"/>
  <c r="I94" i="99"/>
  <c r="L57" i="98"/>
  <c r="L58" i="98" s="1"/>
  <c r="M58" i="98"/>
  <c r="I48" i="98"/>
  <c r="S85" i="1"/>
  <c r="L13" i="99" s="1"/>
  <c r="W85" i="1"/>
  <c r="N23" i="99" s="1"/>
  <c r="M46" i="42"/>
  <c r="I25" i="98"/>
  <c r="N56" i="98"/>
  <c r="N58" i="98" s="1"/>
  <c r="H35" i="39"/>
  <c r="Y22" i="91" s="1"/>
  <c r="J24" i="39"/>
  <c r="I21" i="42"/>
  <c r="I24" i="42"/>
  <c r="H76" i="1"/>
  <c r="V100" i="1"/>
  <c r="I29" i="42"/>
  <c r="K63" i="39" s="1"/>
  <c r="K65" i="39" s="1"/>
  <c r="I62" i="99" s="1"/>
  <c r="J23" i="1"/>
  <c r="I21" i="1"/>
  <c r="I35" i="1"/>
  <c r="I46" i="1"/>
  <c r="I56" i="1" s="1"/>
  <c r="I64" i="1" s="1"/>
  <c r="I71" i="1" s="1"/>
  <c r="I34" i="98" s="1"/>
  <c r="I60" i="98" s="1"/>
  <c r="O10" i="2"/>
  <c r="O9" i="2" s="1"/>
  <c r="I70" i="98" l="1"/>
  <c r="K57" i="98"/>
  <c r="K58" i="98" s="1"/>
  <c r="W100" i="1"/>
  <c r="K11" i="39" s="1"/>
  <c r="P85" i="1"/>
  <c r="K13" i="99" s="1"/>
  <c r="T85" i="1"/>
  <c r="M23" i="99" s="1"/>
  <c r="L46" i="42"/>
  <c r="N56" i="42"/>
  <c r="I35" i="98"/>
  <c r="AM19" i="91"/>
  <c r="AN19" i="91" s="1"/>
  <c r="I25" i="42"/>
  <c r="I34" i="42"/>
  <c r="I69" i="99" s="1"/>
  <c r="L63" i="2"/>
  <c r="L64" i="2" s="1"/>
  <c r="L66" i="2" s="1"/>
  <c r="I76" i="1"/>
  <c r="S100" i="1"/>
  <c r="M9" i="42"/>
  <c r="I33" i="1"/>
  <c r="J46" i="1"/>
  <c r="J56" i="1" s="1"/>
  <c r="J64" i="1" s="1"/>
  <c r="J71" i="1" s="1"/>
  <c r="I14" i="98" s="1"/>
  <c r="L23" i="2"/>
  <c r="L24" i="2" s="1"/>
  <c r="J35" i="1"/>
  <c r="I44" i="1"/>
  <c r="I54" i="1" s="1"/>
  <c r="I62" i="1" s="1"/>
  <c r="I69" i="1" s="1"/>
  <c r="I30" i="98" s="1"/>
  <c r="J21" i="1"/>
  <c r="P10" i="2"/>
  <c r="P9" i="2" s="1"/>
  <c r="Q10" i="2"/>
  <c r="Q9" i="2" s="1"/>
  <c r="J57" i="98" l="1"/>
  <c r="J58" i="98" s="1"/>
  <c r="M85" i="1"/>
  <c r="J13" i="99" s="1"/>
  <c r="Q85" i="1"/>
  <c r="L23" i="99" s="1"/>
  <c r="K46" i="42"/>
  <c r="M56" i="42"/>
  <c r="I15" i="98"/>
  <c r="I52" i="98"/>
  <c r="I31" i="98"/>
  <c r="J44" i="1"/>
  <c r="J54" i="1" s="1"/>
  <c r="J62" i="1" s="1"/>
  <c r="J69" i="1" s="1"/>
  <c r="I10" i="98" s="1"/>
  <c r="I35" i="42"/>
  <c r="I30" i="42"/>
  <c r="I75" i="1"/>
  <c r="J76" i="1"/>
  <c r="T100" i="1"/>
  <c r="P100" i="1"/>
  <c r="K21" i="1"/>
  <c r="I14" i="42"/>
  <c r="N9" i="42"/>
  <c r="L19" i="2"/>
  <c r="J33" i="1"/>
  <c r="I57" i="98" l="1"/>
  <c r="I58" i="98" s="1"/>
  <c r="N85" i="1"/>
  <c r="K23" i="99" s="1"/>
  <c r="J85" i="1"/>
  <c r="I13" i="99" s="1"/>
  <c r="J46" i="42"/>
  <c r="L56" i="42"/>
  <c r="I11" i="98"/>
  <c r="I15" i="42"/>
  <c r="I31" i="42"/>
  <c r="I76" i="99" s="1"/>
  <c r="Q100" i="1"/>
  <c r="J11" i="39"/>
  <c r="J75" i="1"/>
  <c r="M100" i="1"/>
  <c r="K20" i="1"/>
  <c r="M49" i="2"/>
  <c r="M40" i="2"/>
  <c r="I10" i="42"/>
  <c r="L20" i="2"/>
  <c r="K33" i="1"/>
  <c r="K44" i="1"/>
  <c r="K54" i="1" s="1"/>
  <c r="K62" i="1" s="1"/>
  <c r="K69" i="1" s="1"/>
  <c r="J20" i="98" s="1"/>
  <c r="K85" i="1" l="1"/>
  <c r="J23" i="99" s="1"/>
  <c r="I85" i="1"/>
  <c r="I33" i="99" s="1"/>
  <c r="P33" i="99" s="1"/>
  <c r="K56" i="42"/>
  <c r="I46" i="42"/>
  <c r="P46" i="42" s="1"/>
  <c r="J39" i="98"/>
  <c r="P13" i="99"/>
  <c r="I66" i="42"/>
  <c r="J56" i="42"/>
  <c r="I11" i="42"/>
  <c r="J100" i="1"/>
  <c r="N100" i="1"/>
  <c r="I11" i="39"/>
  <c r="K23" i="1"/>
  <c r="L20" i="1"/>
  <c r="J20" i="42"/>
  <c r="L54" i="39" s="1"/>
  <c r="L56" i="39" s="1"/>
  <c r="L58" i="39" s="1"/>
  <c r="J44" i="99" l="1"/>
  <c r="L64" i="39"/>
  <c r="J56" i="99"/>
  <c r="K100" i="1"/>
  <c r="G85" i="1"/>
  <c r="H85" i="1" s="1"/>
  <c r="I23" i="99" s="1"/>
  <c r="P66" i="42"/>
  <c r="N24" i="39" s="1"/>
  <c r="F35" i="39"/>
  <c r="AG19" i="91" s="1"/>
  <c r="G11" i="39"/>
  <c r="H11" i="39"/>
  <c r="I100" i="1"/>
  <c r="L23" i="1"/>
  <c r="L21" i="1" s="1"/>
  <c r="M21" i="1" s="1"/>
  <c r="P23" i="99" l="1"/>
  <c r="I56" i="42"/>
  <c r="G100" i="1"/>
  <c r="M23" i="1"/>
  <c r="N21" i="1"/>
  <c r="P56" i="42" l="1"/>
  <c r="L24" i="39" s="1"/>
  <c r="J35" i="39" s="1"/>
  <c r="AA22" i="91" s="1"/>
  <c r="H100" i="1"/>
  <c r="N20" i="1"/>
  <c r="F11" i="39" l="1"/>
  <c r="L11" i="39" s="1"/>
  <c r="AM20" i="91"/>
  <c r="AN20" i="91" s="1"/>
  <c r="H46" i="39"/>
  <c r="N23" i="1"/>
  <c r="O20" i="1"/>
  <c r="J46" i="39" l="1"/>
  <c r="J74" i="39" s="1"/>
  <c r="AC19" i="91"/>
  <c r="O23" i="1"/>
  <c r="O21" i="1" s="1"/>
  <c r="P21" i="1" s="1"/>
  <c r="I15" i="7" l="1"/>
  <c r="K31" i="7"/>
  <c r="P23" i="1"/>
  <c r="Q21" i="1"/>
  <c r="K33" i="7" l="1"/>
  <c r="I17" i="7"/>
  <c r="J31" i="7"/>
  <c r="J15" i="7"/>
  <c r="Q20" i="1"/>
  <c r="J30" i="7" s="1"/>
  <c r="R20" i="1" l="1"/>
  <c r="Q23" i="1"/>
  <c r="J33" i="7" s="1"/>
  <c r="R23" i="1" l="1"/>
  <c r="R21" i="1" s="1"/>
  <c r="S21" i="1" s="1"/>
  <c r="L31" i="7" s="1"/>
  <c r="S23" i="1" l="1"/>
  <c r="L33" i="7" s="1"/>
  <c r="T21" i="1"/>
  <c r="T20" i="1" l="1"/>
  <c r="U20" i="1" l="1"/>
  <c r="T23" i="1"/>
  <c r="U23" i="1" l="1"/>
  <c r="U21" i="1" s="1"/>
  <c r="V21" i="1" s="1"/>
  <c r="W21" i="1" l="1"/>
  <c r="V23" i="1"/>
  <c r="W20" i="1" l="1"/>
  <c r="X20" i="1" l="1"/>
  <c r="W23" i="1"/>
  <c r="X23" i="1" l="1"/>
  <c r="X21" i="1" s="1"/>
  <c r="Y21" i="1" s="1"/>
  <c r="Y23" i="1" l="1"/>
  <c r="L39" i="2" l="1"/>
  <c r="L42" i="2" s="1"/>
  <c r="L44" i="2" s="1"/>
  <c r="M12" i="2" l="1"/>
  <c r="M10" i="2" s="1"/>
  <c r="M9" i="2" s="1"/>
  <c r="M30" i="2"/>
  <c r="M29" i="2" s="1"/>
  <c r="M33" i="2" s="1"/>
  <c r="M37" i="2" s="1"/>
  <c r="M39" i="2" s="1"/>
  <c r="M42" i="2" s="1"/>
  <c r="L8" i="7"/>
  <c r="K40" i="1"/>
  <c r="K51" i="1" s="1"/>
  <c r="M40" i="1"/>
  <c r="M51" i="1" s="1"/>
  <c r="M60" i="1" s="1"/>
  <c r="M68" i="1" s="1"/>
  <c r="J9" i="98" s="1"/>
  <c r="M28" i="1"/>
  <c r="N40" i="1"/>
  <c r="N51" i="1" s="1"/>
  <c r="N28" i="1"/>
  <c r="P9" i="98" l="1"/>
  <c r="J9" i="42"/>
  <c r="I24" i="7"/>
  <c r="K28" i="1"/>
  <c r="N30" i="2"/>
  <c r="N29" i="2" s="1"/>
  <c r="N33" i="2" s="1"/>
  <c r="N37" i="2" s="1"/>
  <c r="N39" i="2" s="1"/>
  <c r="P9" i="42" l="1"/>
  <c r="K46" i="1"/>
  <c r="K56" i="1" s="1"/>
  <c r="K64" i="1" s="1"/>
  <c r="K71" i="1" s="1"/>
  <c r="J24" i="98" s="1"/>
  <c r="K35" i="1"/>
  <c r="J17" i="7"/>
  <c r="K32" i="1"/>
  <c r="M43" i="2"/>
  <c r="M44" i="2" s="1"/>
  <c r="K43" i="1"/>
  <c r="K53" i="1" s="1"/>
  <c r="K60" i="1" s="1"/>
  <c r="K68" i="1" s="1"/>
  <c r="J19" i="98" s="1"/>
  <c r="I30" i="7"/>
  <c r="J14" i="7"/>
  <c r="J21" i="98" l="1"/>
  <c r="J38" i="98"/>
  <c r="J41" i="98"/>
  <c r="J45" i="98" s="1"/>
  <c r="J25" i="98"/>
  <c r="F42" i="39"/>
  <c r="AE4" i="91" s="1"/>
  <c r="F20" i="39"/>
  <c r="K75" i="1"/>
  <c r="J24" i="42"/>
  <c r="K76" i="1"/>
  <c r="M55" i="2"/>
  <c r="M56" i="2" s="1"/>
  <c r="L32" i="1"/>
  <c r="L43" i="1"/>
  <c r="L53" i="1" s="1"/>
  <c r="L60" i="1" s="1"/>
  <c r="L68" i="1" s="1"/>
  <c r="K14" i="7"/>
  <c r="L14" i="7" s="1"/>
  <c r="J19" i="42"/>
  <c r="K17" i="7"/>
  <c r="L17" i="7" s="1"/>
  <c r="J44" i="98" l="1"/>
  <c r="L83" i="1"/>
  <c r="J29" i="99" s="1"/>
  <c r="J29" i="98"/>
  <c r="J94" i="99" s="1"/>
  <c r="J21" i="42"/>
  <c r="J25" i="42"/>
  <c r="L35" i="1"/>
  <c r="L46" i="1"/>
  <c r="L56" i="1" s="1"/>
  <c r="L64" i="1" s="1"/>
  <c r="L71" i="1" s="1"/>
  <c r="J34" i="98" s="1"/>
  <c r="J29" i="42"/>
  <c r="L63" i="39" s="1"/>
  <c r="L65" i="39" s="1"/>
  <c r="J62" i="99" s="1"/>
  <c r="K15" i="7"/>
  <c r="L15" i="7" s="1"/>
  <c r="J65" i="98" l="1"/>
  <c r="J67" i="98" s="1"/>
  <c r="L98" i="1"/>
  <c r="J62" i="42"/>
  <c r="J35" i="98"/>
  <c r="J60" i="98"/>
  <c r="J48" i="98"/>
  <c r="J34" i="42"/>
  <c r="J69" i="99" s="1"/>
  <c r="L76" i="1"/>
  <c r="L33" i="1"/>
  <c r="L44" i="1"/>
  <c r="L54" i="1" s="1"/>
  <c r="L62" i="1" s="1"/>
  <c r="L69" i="1" s="1"/>
  <c r="M44" i="1"/>
  <c r="M54" i="1" s="1"/>
  <c r="M62" i="1" s="1"/>
  <c r="M69" i="1" s="1"/>
  <c r="J10" i="98" s="1"/>
  <c r="M46" i="1"/>
  <c r="M56" i="1" s="1"/>
  <c r="M64" i="1" s="1"/>
  <c r="M71" i="1" s="1"/>
  <c r="J14" i="98" s="1"/>
  <c r="M23" i="2"/>
  <c r="M24" i="2" s="1"/>
  <c r="I33" i="7"/>
  <c r="M35" i="1"/>
  <c r="M63" i="2"/>
  <c r="M64" i="2" s="1"/>
  <c r="M66" i="2" s="1"/>
  <c r="M19" i="2"/>
  <c r="I31" i="7"/>
  <c r="J70" i="98" l="1"/>
  <c r="J75" i="98"/>
  <c r="J11" i="98"/>
  <c r="J15" i="98"/>
  <c r="L84" i="1"/>
  <c r="J30" i="99" s="1"/>
  <c r="J31" i="99" s="1"/>
  <c r="J30" i="98"/>
  <c r="J63" i="42"/>
  <c r="L86" i="1"/>
  <c r="J34" i="99" s="1"/>
  <c r="J35" i="99" s="1"/>
  <c r="J35" i="42"/>
  <c r="M75" i="1"/>
  <c r="J30" i="42"/>
  <c r="L75" i="1"/>
  <c r="M76" i="1"/>
  <c r="M33" i="1"/>
  <c r="J14" i="42"/>
  <c r="N40" i="2"/>
  <c r="N42" i="2" s="1"/>
  <c r="N49" i="2"/>
  <c r="M20" i="2"/>
  <c r="N33" i="1"/>
  <c r="N44" i="1"/>
  <c r="N54" i="1" s="1"/>
  <c r="N62" i="1" s="1"/>
  <c r="N69" i="1" s="1"/>
  <c r="K20" i="98" s="1"/>
  <c r="J10" i="42"/>
  <c r="L99" i="1" l="1"/>
  <c r="L105" i="1" s="1"/>
  <c r="J52" i="98"/>
  <c r="J31" i="98"/>
  <c r="J43" i="98" s="1"/>
  <c r="J46" i="98" s="1"/>
  <c r="L90" i="1"/>
  <c r="K39" i="98"/>
  <c r="J64" i="42"/>
  <c r="J67" i="42"/>
  <c r="L91" i="1"/>
  <c r="J31" i="42"/>
  <c r="J76" i="99" s="1"/>
  <c r="J15" i="42"/>
  <c r="J11" i="42"/>
  <c r="N32" i="1"/>
  <c r="N43" i="2"/>
  <c r="N44" i="2" s="1"/>
  <c r="N43" i="1"/>
  <c r="N53" i="1" s="1"/>
  <c r="N60" i="1" s="1"/>
  <c r="N68" i="1" s="1"/>
  <c r="K19" i="98" s="1"/>
  <c r="K20" i="42"/>
  <c r="M54" i="39" s="1"/>
  <c r="M56" i="39" s="1"/>
  <c r="M58" i="39" s="1"/>
  <c r="M64" i="39" l="1"/>
  <c r="K44" i="99"/>
  <c r="K56" i="99"/>
  <c r="K38" i="98"/>
  <c r="K21" i="98"/>
  <c r="J68" i="42"/>
  <c r="N75" i="1"/>
  <c r="L101" i="1"/>
  <c r="L106" i="1" s="1"/>
  <c r="N55" i="2"/>
  <c r="N56" i="2" s="1"/>
  <c r="K19" i="42"/>
  <c r="O43" i="1"/>
  <c r="O53" i="1" s="1"/>
  <c r="O60" i="1" s="1"/>
  <c r="O68" i="1" s="1"/>
  <c r="O32" i="1"/>
  <c r="N46" i="1"/>
  <c r="N56" i="1" s="1"/>
  <c r="N64" i="1" s="1"/>
  <c r="N71" i="1" s="1"/>
  <c r="K24" i="98" s="1"/>
  <c r="N35" i="1"/>
  <c r="K44" i="98" l="1"/>
  <c r="K41" i="98"/>
  <c r="K45" i="98" s="1"/>
  <c r="K25" i="98"/>
  <c r="O83" i="1"/>
  <c r="K29" i="99" s="1"/>
  <c r="K29" i="98"/>
  <c r="K94" i="99" s="1"/>
  <c r="K62" i="42"/>
  <c r="K21" i="42"/>
  <c r="K24" i="42"/>
  <c r="N76" i="1"/>
  <c r="O44" i="1"/>
  <c r="O54" i="1" s="1"/>
  <c r="O62" i="1" s="1"/>
  <c r="O69" i="1" s="1"/>
  <c r="O33" i="1"/>
  <c r="O35" i="1"/>
  <c r="O46" i="1"/>
  <c r="O56" i="1" s="1"/>
  <c r="O64" i="1" s="1"/>
  <c r="O71" i="1" s="1"/>
  <c r="K34" i="98" s="1"/>
  <c r="K60" i="98" s="1"/>
  <c r="K29" i="42"/>
  <c r="M63" i="39" s="1"/>
  <c r="M65" i="39" s="1"/>
  <c r="K62" i="99" s="1"/>
  <c r="P46" i="1"/>
  <c r="P56" i="1" s="1"/>
  <c r="P64" i="1" s="1"/>
  <c r="P71" i="1" s="1"/>
  <c r="K14" i="98" s="1"/>
  <c r="N23" i="2"/>
  <c r="N24" i="2" s="1"/>
  <c r="K65" i="98" l="1"/>
  <c r="K67" i="98" s="1"/>
  <c r="K15" i="98"/>
  <c r="K48" i="98"/>
  <c r="O84" i="1"/>
  <c r="K30" i="99" s="1"/>
  <c r="K31" i="99" s="1"/>
  <c r="K30" i="98"/>
  <c r="K35" i="98"/>
  <c r="O98" i="1"/>
  <c r="K63" i="42"/>
  <c r="K25" i="42"/>
  <c r="K34" i="42"/>
  <c r="K69" i="99" s="1"/>
  <c r="O76" i="1"/>
  <c r="K30" i="42"/>
  <c r="O75" i="1"/>
  <c r="P76" i="1"/>
  <c r="N63" i="2"/>
  <c r="N64" i="2" s="1"/>
  <c r="N66" i="2" s="1"/>
  <c r="P35" i="1"/>
  <c r="P44" i="1"/>
  <c r="P54" i="1" s="1"/>
  <c r="P62" i="1" s="1"/>
  <c r="P69" i="1" s="1"/>
  <c r="K10" i="98" s="1"/>
  <c r="P33" i="1"/>
  <c r="N19" i="2"/>
  <c r="K14" i="42"/>
  <c r="K70" i="98" l="1"/>
  <c r="K75" i="98"/>
  <c r="K52" i="98"/>
  <c r="O99" i="1"/>
  <c r="O105" i="1" s="1"/>
  <c r="O86" i="1"/>
  <c r="K34" i="99" s="1"/>
  <c r="K35" i="99" s="1"/>
  <c r="K11" i="98"/>
  <c r="K31" i="98"/>
  <c r="O90" i="1"/>
  <c r="K64" i="42"/>
  <c r="O91" i="1"/>
  <c r="K67" i="42"/>
  <c r="K31" i="42"/>
  <c r="K76" i="99" s="1"/>
  <c r="K35" i="42"/>
  <c r="K15" i="42"/>
  <c r="P75" i="1"/>
  <c r="O49" i="2"/>
  <c r="O40" i="2"/>
  <c r="O42" i="2" s="1"/>
  <c r="N20" i="2"/>
  <c r="Q44" i="1"/>
  <c r="Q54" i="1" s="1"/>
  <c r="Q62" i="1" s="1"/>
  <c r="Q69" i="1" s="1"/>
  <c r="L20" i="98" s="1"/>
  <c r="Q33" i="1"/>
  <c r="K10" i="42"/>
  <c r="K43" i="98" l="1"/>
  <c r="K46" i="98" s="1"/>
  <c r="L39" i="98"/>
  <c r="K68" i="42"/>
  <c r="K11" i="42"/>
  <c r="O101" i="1"/>
  <c r="O106" i="1" s="1"/>
  <c r="L20" i="42"/>
  <c r="N54" i="39" s="1"/>
  <c r="N56" i="39" s="1"/>
  <c r="N58" i="39" s="1"/>
  <c r="Q32" i="1"/>
  <c r="Q43" i="1"/>
  <c r="Q53" i="1" s="1"/>
  <c r="Q60" i="1" s="1"/>
  <c r="Q68" i="1" s="1"/>
  <c r="L19" i="98" s="1"/>
  <c r="O43" i="2"/>
  <c r="O44" i="2" s="1"/>
  <c r="L56" i="99" l="1"/>
  <c r="L44" i="99"/>
  <c r="N64" i="39"/>
  <c r="L21" i="98"/>
  <c r="L38" i="98"/>
  <c r="Q75" i="1"/>
  <c r="O55" i="2"/>
  <c r="O56" i="2" s="1"/>
  <c r="L19" i="42"/>
  <c r="R32" i="1"/>
  <c r="R43" i="1"/>
  <c r="R53" i="1" s="1"/>
  <c r="R60" i="1" s="1"/>
  <c r="R68" i="1" s="1"/>
  <c r="Q46" i="1"/>
  <c r="Q56" i="1" s="1"/>
  <c r="Q64" i="1" s="1"/>
  <c r="Q71" i="1" s="1"/>
  <c r="L24" i="98" s="1"/>
  <c r="Q35" i="1"/>
  <c r="L44" i="98" l="1"/>
  <c r="R83" i="1"/>
  <c r="L29" i="99" s="1"/>
  <c r="L29" i="98"/>
  <c r="L94" i="99" s="1"/>
  <c r="L41" i="98"/>
  <c r="L45" i="98" s="1"/>
  <c r="L25" i="98"/>
  <c r="L21" i="42"/>
  <c r="L24" i="42"/>
  <c r="Q76" i="1"/>
  <c r="R35" i="1"/>
  <c r="R46" i="1"/>
  <c r="R56" i="1" s="1"/>
  <c r="R64" i="1" s="1"/>
  <c r="R71" i="1" s="1"/>
  <c r="L34" i="98" s="1"/>
  <c r="L60" i="98" s="1"/>
  <c r="L29" i="42"/>
  <c r="N63" i="39" s="1"/>
  <c r="N65" i="39" s="1"/>
  <c r="L62" i="99" s="1"/>
  <c r="R44" i="1"/>
  <c r="R54" i="1" s="1"/>
  <c r="R62" i="1" s="1"/>
  <c r="R69" i="1" s="1"/>
  <c r="R33" i="1"/>
  <c r="L65" i="98" l="1"/>
  <c r="L67" i="98" s="1"/>
  <c r="L62" i="42"/>
  <c r="R98" i="1"/>
  <c r="R84" i="1"/>
  <c r="L30" i="99" s="1"/>
  <c r="L31" i="99" s="1"/>
  <c r="L30" i="98"/>
  <c r="L31" i="98" s="1"/>
  <c r="L35" i="98"/>
  <c r="L48" i="98"/>
  <c r="L25" i="42"/>
  <c r="L34" i="42"/>
  <c r="L69" i="99" s="1"/>
  <c r="R76" i="1"/>
  <c r="L30" i="42"/>
  <c r="R75" i="1"/>
  <c r="O63" i="2"/>
  <c r="O64" i="2" s="1"/>
  <c r="O66" i="2" s="1"/>
  <c r="O23" i="2"/>
  <c r="O24" i="2" s="1"/>
  <c r="S46" i="1"/>
  <c r="S56" i="1" s="1"/>
  <c r="S64" i="1" s="1"/>
  <c r="S71" i="1" s="1"/>
  <c r="L14" i="98" s="1"/>
  <c r="S35" i="1"/>
  <c r="O19" i="2"/>
  <c r="S44" i="1"/>
  <c r="S54" i="1" s="1"/>
  <c r="S62" i="1" s="1"/>
  <c r="S69" i="1" s="1"/>
  <c r="L10" i="98" s="1"/>
  <c r="S33" i="1"/>
  <c r="L63" i="42" l="1"/>
  <c r="L64" i="42" s="1"/>
  <c r="R99" i="1"/>
  <c r="R105" i="1" s="1"/>
  <c r="L75" i="98"/>
  <c r="L70" i="98"/>
  <c r="L15" i="98"/>
  <c r="L11" i="98"/>
  <c r="L52" i="98"/>
  <c r="R90" i="1"/>
  <c r="R86" i="1"/>
  <c r="R101" i="1" s="1"/>
  <c r="R106" i="1" s="1"/>
  <c r="L67" i="42"/>
  <c r="L35" i="42"/>
  <c r="S76" i="1"/>
  <c r="L31" i="42"/>
  <c r="L76" i="99" s="1"/>
  <c r="S75" i="1"/>
  <c r="P49" i="2"/>
  <c r="P40" i="2"/>
  <c r="P42" i="2" s="1"/>
  <c r="O20" i="2"/>
  <c r="L10" i="42"/>
  <c r="L14" i="42"/>
  <c r="T33" i="1"/>
  <c r="T44" i="1"/>
  <c r="T54" i="1" s="1"/>
  <c r="T62" i="1" s="1"/>
  <c r="T69" i="1" s="1"/>
  <c r="M20" i="98" s="1"/>
  <c r="L43" i="98" l="1"/>
  <c r="L46" i="98" s="1"/>
  <c r="M39" i="98"/>
  <c r="L34" i="99"/>
  <c r="L35" i="99" s="1"/>
  <c r="R91" i="1"/>
  <c r="L68" i="42"/>
  <c r="L15" i="42"/>
  <c r="L11" i="42"/>
  <c r="M20" i="42"/>
  <c r="O54" i="39" s="1"/>
  <c r="O56" i="39" s="1"/>
  <c r="O58" i="39" s="1"/>
  <c r="T43" i="1"/>
  <c r="T53" i="1" s="1"/>
  <c r="T60" i="1" s="1"/>
  <c r="T68" i="1" s="1"/>
  <c r="M19" i="98" s="1"/>
  <c r="T32" i="1"/>
  <c r="P43" i="2"/>
  <c r="P44" i="2" s="1"/>
  <c r="O64" i="39" l="1"/>
  <c r="M44" i="99"/>
  <c r="M56" i="99"/>
  <c r="M38" i="98"/>
  <c r="M21" i="98"/>
  <c r="T75" i="1"/>
  <c r="P55" i="2"/>
  <c r="P56" i="2" s="1"/>
  <c r="M19" i="42"/>
  <c r="U43" i="1"/>
  <c r="U53" i="1" s="1"/>
  <c r="U60" i="1" s="1"/>
  <c r="U68" i="1" s="1"/>
  <c r="U32" i="1"/>
  <c r="T35" i="1"/>
  <c r="T46" i="1"/>
  <c r="T56" i="1" s="1"/>
  <c r="T64" i="1" s="1"/>
  <c r="T71" i="1" s="1"/>
  <c r="M24" i="98" s="1"/>
  <c r="M44" i="98" l="1"/>
  <c r="M41" i="98"/>
  <c r="M45" i="98" s="1"/>
  <c r="M25" i="98"/>
  <c r="U83" i="1"/>
  <c r="M29" i="99" s="1"/>
  <c r="M29" i="98"/>
  <c r="M94" i="99" s="1"/>
  <c r="M62" i="42"/>
  <c r="M21" i="42"/>
  <c r="M24" i="42"/>
  <c r="T76" i="1"/>
  <c r="U98" i="1"/>
  <c r="U35" i="1"/>
  <c r="U46" i="1"/>
  <c r="U56" i="1" s="1"/>
  <c r="U64" i="1" s="1"/>
  <c r="U71" i="1" s="1"/>
  <c r="M34" i="98" s="1"/>
  <c r="M60" i="98" s="1"/>
  <c r="U44" i="1"/>
  <c r="U54" i="1" s="1"/>
  <c r="U62" i="1" s="1"/>
  <c r="U69" i="1" s="1"/>
  <c r="U33" i="1"/>
  <c r="P23" i="2"/>
  <c r="P24" i="2" s="1"/>
  <c r="M29" i="42"/>
  <c r="O63" i="39" s="1"/>
  <c r="O65" i="39" s="1"/>
  <c r="M62" i="99" s="1"/>
  <c r="M65" i="98" l="1"/>
  <c r="M67" i="98" s="1"/>
  <c r="M48" i="98"/>
  <c r="M35" i="98"/>
  <c r="U84" i="1"/>
  <c r="M30" i="99" s="1"/>
  <c r="M31" i="99" s="1"/>
  <c r="M30" i="98"/>
  <c r="M63" i="42"/>
  <c r="M25" i="42"/>
  <c r="M34" i="42"/>
  <c r="M69" i="99" s="1"/>
  <c r="U76" i="1"/>
  <c r="M30" i="42"/>
  <c r="U75" i="1"/>
  <c r="V35" i="1"/>
  <c r="V46" i="1"/>
  <c r="V56" i="1" s="1"/>
  <c r="V64" i="1" s="1"/>
  <c r="V71" i="1" s="1"/>
  <c r="M14" i="98" s="1"/>
  <c r="P63" i="2"/>
  <c r="P64" i="2" s="1"/>
  <c r="P66" i="2" s="1"/>
  <c r="V33" i="1"/>
  <c r="P19" i="2"/>
  <c r="V44" i="1"/>
  <c r="V54" i="1" s="1"/>
  <c r="V62" i="1" s="1"/>
  <c r="V69" i="1" s="1"/>
  <c r="M10" i="98" s="1"/>
  <c r="M75" i="98" l="1"/>
  <c r="M70" i="98"/>
  <c r="M52" i="98"/>
  <c r="M15" i="98"/>
  <c r="M11" i="98"/>
  <c r="M31" i="98"/>
  <c r="U86" i="1"/>
  <c r="U99" i="1"/>
  <c r="U105" i="1" s="1"/>
  <c r="U90" i="1"/>
  <c r="M64" i="42"/>
  <c r="M31" i="42"/>
  <c r="M76" i="99" s="1"/>
  <c r="M67" i="42"/>
  <c r="M35" i="42"/>
  <c r="V76" i="1"/>
  <c r="V75" i="1"/>
  <c r="M14" i="42"/>
  <c r="Q49" i="2"/>
  <c r="Q40" i="2"/>
  <c r="Q42" i="2" s="1"/>
  <c r="P20" i="2"/>
  <c r="M10" i="42"/>
  <c r="W33" i="1"/>
  <c r="W44" i="1"/>
  <c r="W54" i="1" s="1"/>
  <c r="W62" i="1" s="1"/>
  <c r="W69" i="1" s="1"/>
  <c r="N20" i="98" s="1"/>
  <c r="M43" i="98" l="1"/>
  <c r="M46" i="98" s="1"/>
  <c r="N39" i="98"/>
  <c r="P20" i="98"/>
  <c r="N74" i="98"/>
  <c r="M34" i="99"/>
  <c r="M35" i="99" s="1"/>
  <c r="U91" i="1"/>
  <c r="M68" i="42"/>
  <c r="M15" i="42"/>
  <c r="M11" i="42"/>
  <c r="U101" i="1"/>
  <c r="U106" i="1" s="1"/>
  <c r="W32" i="1"/>
  <c r="Q43" i="2"/>
  <c r="Q44" i="2" s="1"/>
  <c r="W43" i="1"/>
  <c r="W53" i="1" s="1"/>
  <c r="W60" i="1" s="1"/>
  <c r="W68" i="1" s="1"/>
  <c r="N19" i="98" s="1"/>
  <c r="N20" i="42"/>
  <c r="P54" i="39" s="1"/>
  <c r="P56" i="39" s="1"/>
  <c r="P58" i="39" s="1"/>
  <c r="O60" i="39" l="1"/>
  <c r="N60" i="39" s="1"/>
  <c r="M60" i="39" s="1"/>
  <c r="L60" i="39" s="1"/>
  <c r="K60" i="39" s="1"/>
  <c r="J61" i="39" s="1"/>
  <c r="N44" i="99"/>
  <c r="N56" i="99"/>
  <c r="P64" i="39"/>
  <c r="N21" i="98"/>
  <c r="P21" i="98" s="1"/>
  <c r="N38" i="98"/>
  <c r="P19" i="98"/>
  <c r="P20" i="42"/>
  <c r="W75" i="1"/>
  <c r="Q55" i="2"/>
  <c r="Q56" i="2" s="1"/>
  <c r="X43" i="1"/>
  <c r="X53" i="1" s="1"/>
  <c r="X60" i="1" s="1"/>
  <c r="X68" i="1" s="1"/>
  <c r="N29" i="98" s="1"/>
  <c r="N94" i="99" s="1"/>
  <c r="X32" i="1"/>
  <c r="W46" i="1"/>
  <c r="W56" i="1" s="1"/>
  <c r="W64" i="1" s="1"/>
  <c r="W71" i="1" s="1"/>
  <c r="N24" i="98" s="1"/>
  <c r="W35" i="1"/>
  <c r="N19" i="42"/>
  <c r="H83" i="99" l="1"/>
  <c r="J72" i="39"/>
  <c r="N65" i="98"/>
  <c r="N67" i="98" s="1"/>
  <c r="N44" i="98"/>
  <c r="N41" i="98"/>
  <c r="N25" i="98"/>
  <c r="P25" i="98" s="1"/>
  <c r="S25" i="98" s="1"/>
  <c r="P24" i="98"/>
  <c r="N69" i="98"/>
  <c r="M49" i="98"/>
  <c r="M50" i="98" s="1"/>
  <c r="P29" i="98"/>
  <c r="N48" i="98"/>
  <c r="N50" i="98" s="1"/>
  <c r="H21" i="39"/>
  <c r="P19" i="42"/>
  <c r="X83" i="1"/>
  <c r="N62" i="42" s="1"/>
  <c r="N24" i="42"/>
  <c r="W76" i="1"/>
  <c r="N21" i="42"/>
  <c r="Y35" i="1"/>
  <c r="Y46" i="1"/>
  <c r="Y56" i="1" s="1"/>
  <c r="Y64" i="1" s="1"/>
  <c r="Y71" i="1" s="1"/>
  <c r="N14" i="98" s="1"/>
  <c r="Q23" i="2"/>
  <c r="Q24" i="2" s="1"/>
  <c r="X46" i="1"/>
  <c r="X56" i="1" s="1"/>
  <c r="X64" i="1" s="1"/>
  <c r="X71" i="1" s="1"/>
  <c r="N34" i="98" s="1"/>
  <c r="X35" i="1"/>
  <c r="N29" i="42"/>
  <c r="P63" i="39" s="1"/>
  <c r="P65" i="39" s="1"/>
  <c r="O67" i="39" l="1"/>
  <c r="N67" i="39" s="1"/>
  <c r="M67" i="39" s="1"/>
  <c r="L67" i="39" s="1"/>
  <c r="K67" i="39" s="1"/>
  <c r="J68" i="39" s="1"/>
  <c r="N62" i="99"/>
  <c r="N75" i="98"/>
  <c r="N76" i="98" s="1"/>
  <c r="N70" i="98"/>
  <c r="N35" i="98"/>
  <c r="P35" i="98" s="1"/>
  <c r="P34" i="98"/>
  <c r="L49" i="98"/>
  <c r="L50" i="98" s="1"/>
  <c r="N15" i="98"/>
  <c r="P15" i="98" s="1"/>
  <c r="P14" i="98"/>
  <c r="N60" i="98"/>
  <c r="N62" i="98" s="1"/>
  <c r="V83" i="1"/>
  <c r="S83" i="1" s="1"/>
  <c r="L9" i="99" s="1"/>
  <c r="M57" i="99" s="1"/>
  <c r="N29" i="99"/>
  <c r="M61" i="98"/>
  <c r="M62" i="98" s="1"/>
  <c r="N45" i="98"/>
  <c r="H20" i="39"/>
  <c r="H31" i="39" s="1"/>
  <c r="Y7" i="91" s="1"/>
  <c r="P29" i="42"/>
  <c r="P24" i="42"/>
  <c r="X98" i="1"/>
  <c r="P21" i="42"/>
  <c r="M42" i="42"/>
  <c r="N25" i="42"/>
  <c r="N34" i="42"/>
  <c r="N69" i="99" s="1"/>
  <c r="X76" i="1"/>
  <c r="Y76" i="1"/>
  <c r="Y33" i="1"/>
  <c r="Q63" i="2"/>
  <c r="Q64" i="2" s="1"/>
  <c r="Q66" i="2" s="1"/>
  <c r="Y44" i="1"/>
  <c r="Y54" i="1" s="1"/>
  <c r="Y62" i="1" s="1"/>
  <c r="Y69" i="1" s="1"/>
  <c r="N10" i="98" s="1"/>
  <c r="X33" i="1"/>
  <c r="X44" i="1"/>
  <c r="X54" i="1" s="1"/>
  <c r="X62" i="1" s="1"/>
  <c r="X69" i="1" s="1"/>
  <c r="N14" i="42"/>
  <c r="H81" i="99" l="1"/>
  <c r="J70" i="39"/>
  <c r="L61" i="98"/>
  <c r="L62" i="98" s="1"/>
  <c r="W83" i="1"/>
  <c r="N19" i="99" s="1"/>
  <c r="M9" i="99"/>
  <c r="N57" i="99" s="1"/>
  <c r="X84" i="1"/>
  <c r="N30" i="99" s="1"/>
  <c r="N31" i="99" s="1"/>
  <c r="N30" i="98"/>
  <c r="N71" i="98" s="1"/>
  <c r="N72" i="98" s="1"/>
  <c r="N11" i="98"/>
  <c r="P10" i="98"/>
  <c r="K49" i="98"/>
  <c r="K50" i="98" s="1"/>
  <c r="V98" i="1"/>
  <c r="AM4" i="91"/>
  <c r="AN4" i="91" s="1"/>
  <c r="N77" i="98"/>
  <c r="J20" i="39"/>
  <c r="H22" i="39"/>
  <c r="H25" i="39"/>
  <c r="P34" i="42"/>
  <c r="P25" i="42"/>
  <c r="P14" i="42"/>
  <c r="L42" i="42"/>
  <c r="N52" i="42"/>
  <c r="N35" i="42"/>
  <c r="T83" i="1"/>
  <c r="M19" i="99" s="1"/>
  <c r="P83" i="1"/>
  <c r="K9" i="99" s="1"/>
  <c r="L57" i="99" s="1"/>
  <c r="Y75" i="1"/>
  <c r="N30" i="42"/>
  <c r="X75" i="1"/>
  <c r="N15" i="42"/>
  <c r="Y101" i="1"/>
  <c r="Y106" i="1" s="1"/>
  <c r="S98" i="1"/>
  <c r="W98" i="1"/>
  <c r="Q19" i="2"/>
  <c r="X99" i="1" l="1"/>
  <c r="X105" i="1" s="1"/>
  <c r="X90" i="1"/>
  <c r="N63" i="42"/>
  <c r="N64" i="42" s="1"/>
  <c r="V84" i="1"/>
  <c r="M10" i="99" s="1"/>
  <c r="X86" i="1"/>
  <c r="N34" i="99" s="1"/>
  <c r="L52" i="99"/>
  <c r="M52" i="99"/>
  <c r="J49" i="98"/>
  <c r="J50" i="98" s="1"/>
  <c r="N52" i="99"/>
  <c r="P11" i="98"/>
  <c r="S15" i="98" s="1"/>
  <c r="N31" i="98"/>
  <c r="P31" i="98" s="1"/>
  <c r="S35" i="98" s="1"/>
  <c r="P30" i="98"/>
  <c r="N52" i="98"/>
  <c r="N54" i="98" s="1"/>
  <c r="M53" i="98"/>
  <c r="M54" i="98" s="1"/>
  <c r="K61" i="98"/>
  <c r="K62" i="98" s="1"/>
  <c r="P30" i="42"/>
  <c r="H26" i="39"/>
  <c r="J25" i="39"/>
  <c r="P35" i="42"/>
  <c r="F25" i="39"/>
  <c r="H36" i="39" s="1"/>
  <c r="Y27" i="91" s="1"/>
  <c r="F47" i="39"/>
  <c r="P15" i="42"/>
  <c r="K42" i="42"/>
  <c r="M52" i="42"/>
  <c r="M43" i="42"/>
  <c r="N31" i="42"/>
  <c r="Q83" i="1"/>
  <c r="L19" i="99" s="1"/>
  <c r="M83" i="1"/>
  <c r="J9" i="99" s="1"/>
  <c r="K57" i="99" s="1"/>
  <c r="K9" i="39"/>
  <c r="Y99" i="1"/>
  <c r="Y105" i="1" s="1"/>
  <c r="Q20" i="2"/>
  <c r="N10" i="42"/>
  <c r="T98" i="1"/>
  <c r="X101" i="1"/>
  <c r="X106" i="1" s="1"/>
  <c r="P98" i="1"/>
  <c r="M11" i="99" l="1"/>
  <c r="N49" i="99" s="1"/>
  <c r="M92" i="99"/>
  <c r="N93" i="99" s="1"/>
  <c r="N95" i="99" s="1"/>
  <c r="M96" i="99" s="1"/>
  <c r="K52" i="99"/>
  <c r="N43" i="99"/>
  <c r="V86" i="1"/>
  <c r="M14" i="99" s="1"/>
  <c r="M15" i="99" s="1"/>
  <c r="M78" i="99" s="1"/>
  <c r="W84" i="1"/>
  <c r="N20" i="99" s="1"/>
  <c r="V99" i="1"/>
  <c r="V105" i="1" s="1"/>
  <c r="V90" i="1"/>
  <c r="S84" i="1"/>
  <c r="L10" i="99" s="1"/>
  <c r="X91" i="1"/>
  <c r="N67" i="42"/>
  <c r="N68" i="42" s="1"/>
  <c r="N35" i="99"/>
  <c r="I49" i="98"/>
  <c r="I50" i="98" s="1"/>
  <c r="J61" i="98"/>
  <c r="J62" i="98" s="1"/>
  <c r="L53" i="98"/>
  <c r="L54" i="98" s="1"/>
  <c r="N76" i="99"/>
  <c r="N43" i="98"/>
  <c r="N46" i="98" s="1"/>
  <c r="AE24" i="91"/>
  <c r="P31" i="42"/>
  <c r="M44" i="42"/>
  <c r="J26" i="39"/>
  <c r="J21" i="39"/>
  <c r="AM24" i="91"/>
  <c r="AN24" i="91" s="1"/>
  <c r="F26" i="39"/>
  <c r="H37" i="39" s="1"/>
  <c r="F48" i="39"/>
  <c r="P10" i="42"/>
  <c r="N53" i="42"/>
  <c r="J42" i="42"/>
  <c r="L52" i="42"/>
  <c r="N83" i="1"/>
  <c r="K19" i="99" s="1"/>
  <c r="J83" i="1"/>
  <c r="I9" i="99" s="1"/>
  <c r="J57" i="99" s="1"/>
  <c r="J9" i="39"/>
  <c r="N11" i="42"/>
  <c r="M98" i="1"/>
  <c r="Q98" i="1"/>
  <c r="L43" i="42" l="1"/>
  <c r="T84" i="1"/>
  <c r="M20" i="99" s="1"/>
  <c r="M21" i="99" s="1"/>
  <c r="V91" i="1"/>
  <c r="W86" i="1"/>
  <c r="N24" i="99" s="1"/>
  <c r="N25" i="99" s="1"/>
  <c r="W99" i="1"/>
  <c r="W105" i="1" s="1"/>
  <c r="S86" i="1"/>
  <c r="L14" i="99" s="1"/>
  <c r="M42" i="99" s="1"/>
  <c r="M68" i="99" s="1"/>
  <c r="M47" i="42"/>
  <c r="M48" i="42" s="1"/>
  <c r="W90" i="1"/>
  <c r="S99" i="1"/>
  <c r="S105" i="1" s="1"/>
  <c r="P84" i="1"/>
  <c r="K10" i="99" s="1"/>
  <c r="L43" i="99" s="1"/>
  <c r="M43" i="99"/>
  <c r="L92" i="99"/>
  <c r="M93" i="99" s="1"/>
  <c r="M95" i="99" s="1"/>
  <c r="L96" i="99" s="1"/>
  <c r="S90" i="1"/>
  <c r="N53" i="99"/>
  <c r="N54" i="99" s="1"/>
  <c r="N21" i="99"/>
  <c r="L11" i="99"/>
  <c r="M49" i="99" s="1"/>
  <c r="N42" i="99"/>
  <c r="K53" i="98"/>
  <c r="K54" i="98" s="1"/>
  <c r="I61" i="98"/>
  <c r="I62" i="98" s="1"/>
  <c r="P9" i="99"/>
  <c r="J52" i="99"/>
  <c r="N54" i="42"/>
  <c r="J22" i="39"/>
  <c r="L44" i="42"/>
  <c r="F21" i="39"/>
  <c r="H32" i="39" s="1"/>
  <c r="Y12" i="91" s="1"/>
  <c r="F43" i="39"/>
  <c r="AE9" i="91" s="1"/>
  <c r="N57" i="42"/>
  <c r="W91" i="1"/>
  <c r="P11" i="42"/>
  <c r="M53" i="42"/>
  <c r="T86" i="1"/>
  <c r="M24" i="99" s="1"/>
  <c r="M25" i="99" s="1"/>
  <c r="K43" i="42"/>
  <c r="P86" i="1"/>
  <c r="K14" i="99" s="1"/>
  <c r="I42" i="42"/>
  <c r="K52" i="42"/>
  <c r="K83" i="1"/>
  <c r="J19" i="99" s="1"/>
  <c r="I83" i="1"/>
  <c r="I29" i="99" s="1"/>
  <c r="T90" i="1"/>
  <c r="I9" i="39"/>
  <c r="V101" i="1"/>
  <c r="V106" i="1" s="1"/>
  <c r="K10" i="39"/>
  <c r="K14" i="39" s="1"/>
  <c r="P99" i="1"/>
  <c r="P105" i="1" s="1"/>
  <c r="J98" i="1"/>
  <c r="T99" i="1"/>
  <c r="T105" i="1" s="1"/>
  <c r="N98" i="1"/>
  <c r="Q84" i="1" l="1"/>
  <c r="L20" i="99" s="1"/>
  <c r="L15" i="99"/>
  <c r="L78" i="99" s="1"/>
  <c r="M53" i="99"/>
  <c r="M54" i="99" s="1"/>
  <c r="S91" i="1"/>
  <c r="L47" i="42"/>
  <c r="L48" i="42" s="1"/>
  <c r="K11" i="99"/>
  <c r="L49" i="99" s="1"/>
  <c r="P90" i="1"/>
  <c r="M84" i="1"/>
  <c r="J10" i="99" s="1"/>
  <c r="K43" i="99" s="1"/>
  <c r="K92" i="99"/>
  <c r="L93" i="99" s="1"/>
  <c r="L95" i="99" s="1"/>
  <c r="K96" i="99" s="1"/>
  <c r="L53" i="99"/>
  <c r="L54" i="99" s="1"/>
  <c r="M58" i="99"/>
  <c r="M45" i="99"/>
  <c r="N68" i="99"/>
  <c r="M70" i="99" s="1"/>
  <c r="L70" i="99" s="1"/>
  <c r="N45" i="99"/>
  <c r="L21" i="99"/>
  <c r="K15" i="99"/>
  <c r="K78" i="99" s="1"/>
  <c r="L42" i="99"/>
  <c r="L68" i="99" s="1"/>
  <c r="J53" i="98"/>
  <c r="J54" i="98" s="1"/>
  <c r="P29" i="99"/>
  <c r="N58" i="42"/>
  <c r="P42" i="42"/>
  <c r="K44" i="42"/>
  <c r="M54" i="42"/>
  <c r="F22" i="39"/>
  <c r="H33" i="39" s="1"/>
  <c r="Y17" i="91" s="1"/>
  <c r="F44" i="39"/>
  <c r="AE14" i="91" s="1"/>
  <c r="AM9" i="91"/>
  <c r="AN9" i="91" s="1"/>
  <c r="K47" i="42"/>
  <c r="M57" i="42"/>
  <c r="T91" i="1"/>
  <c r="P91" i="1"/>
  <c r="J43" i="42"/>
  <c r="M86" i="1"/>
  <c r="J14" i="99" s="1"/>
  <c r="J52" i="42"/>
  <c r="H9" i="39"/>
  <c r="L53" i="42"/>
  <c r="Q86" i="1"/>
  <c r="L24" i="99" s="1"/>
  <c r="L25" i="99" s="1"/>
  <c r="F31" i="39"/>
  <c r="AG4" i="91" s="1"/>
  <c r="I62" i="42"/>
  <c r="N84" i="1"/>
  <c r="K20" i="99" s="1"/>
  <c r="J84" i="1"/>
  <c r="I10" i="99" s="1"/>
  <c r="M90" i="1"/>
  <c r="Q90" i="1"/>
  <c r="G83" i="1"/>
  <c r="W101" i="1"/>
  <c r="W106" i="1" s="1"/>
  <c r="J10" i="39"/>
  <c r="J14" i="39" s="1"/>
  <c r="S101" i="1"/>
  <c r="S106" i="1" s="1"/>
  <c r="M99" i="1"/>
  <c r="M105" i="1" s="1"/>
  <c r="Q99" i="1"/>
  <c r="Q105" i="1" s="1"/>
  <c r="T101" i="1"/>
  <c r="P101" i="1"/>
  <c r="P106" i="1" s="1"/>
  <c r="J92" i="99" l="1"/>
  <c r="K93" i="99" s="1"/>
  <c r="K95" i="99" s="1"/>
  <c r="J96" i="99" s="1"/>
  <c r="J11" i="99"/>
  <c r="K49" i="99" s="1"/>
  <c r="J43" i="99"/>
  <c r="I92" i="99"/>
  <c r="L58" i="99"/>
  <c r="L45" i="99"/>
  <c r="N61" i="99"/>
  <c r="M63" i="99" s="1"/>
  <c r="N58" i="99"/>
  <c r="N59" i="99" s="1"/>
  <c r="M61" i="99"/>
  <c r="M59" i="99"/>
  <c r="K53" i="99"/>
  <c r="K54" i="99" s="1"/>
  <c r="K21" i="99"/>
  <c r="K70" i="99"/>
  <c r="I53" i="98"/>
  <c r="I54" i="98" s="1"/>
  <c r="J15" i="99"/>
  <c r="J78" i="99" s="1"/>
  <c r="K42" i="99"/>
  <c r="K68" i="99" s="1"/>
  <c r="P10" i="99"/>
  <c r="I11" i="99"/>
  <c r="L54" i="42"/>
  <c r="J44" i="42"/>
  <c r="M58" i="42"/>
  <c r="P62" i="42"/>
  <c r="N20" i="39" s="1"/>
  <c r="K48" i="42"/>
  <c r="AM14" i="91"/>
  <c r="AN14" i="91" s="1"/>
  <c r="J47" i="42"/>
  <c r="L57" i="42"/>
  <c r="M91" i="1"/>
  <c r="Q91" i="1"/>
  <c r="G98" i="1"/>
  <c r="J12" i="39"/>
  <c r="J15" i="39" s="1"/>
  <c r="T106" i="1"/>
  <c r="I43" i="42"/>
  <c r="J86" i="1"/>
  <c r="K53" i="42"/>
  <c r="N86" i="1"/>
  <c r="K24" i="99" s="1"/>
  <c r="K25" i="99" s="1"/>
  <c r="H83" i="1"/>
  <c r="I19" i="99" s="1"/>
  <c r="I84" i="1"/>
  <c r="I30" i="99" s="1"/>
  <c r="K84" i="1"/>
  <c r="J20" i="99" s="1"/>
  <c r="J90" i="1"/>
  <c r="N90" i="1"/>
  <c r="I10" i="39"/>
  <c r="I14" i="39" s="1"/>
  <c r="K12" i="39"/>
  <c r="K15" i="39" s="1"/>
  <c r="J99" i="1"/>
  <c r="I98" i="1"/>
  <c r="Q101" i="1"/>
  <c r="K98" i="1"/>
  <c r="N99" i="1"/>
  <c r="P11" i="99" l="1"/>
  <c r="J93" i="99"/>
  <c r="J95" i="99" s="1"/>
  <c r="I96" i="99" s="1"/>
  <c r="H97" i="99" s="1"/>
  <c r="I93" i="99"/>
  <c r="I95" i="99" s="1"/>
  <c r="J70" i="99"/>
  <c r="L63" i="99"/>
  <c r="K58" i="99"/>
  <c r="K45" i="99"/>
  <c r="M48" i="99"/>
  <c r="M46" i="99"/>
  <c r="N48" i="99"/>
  <c r="N75" i="99" s="1"/>
  <c r="M77" i="99" s="1"/>
  <c r="N46" i="99"/>
  <c r="L61" i="99"/>
  <c r="L59" i="99"/>
  <c r="J21" i="99"/>
  <c r="J49" i="99"/>
  <c r="P19" i="99"/>
  <c r="P30" i="99"/>
  <c r="I31" i="99"/>
  <c r="P31" i="99" s="1"/>
  <c r="I14" i="99"/>
  <c r="J42" i="99" s="1"/>
  <c r="J91" i="1"/>
  <c r="J48" i="42"/>
  <c r="K54" i="42"/>
  <c r="L58" i="42"/>
  <c r="I44" i="42"/>
  <c r="P43" i="42"/>
  <c r="I47" i="42"/>
  <c r="K57" i="42"/>
  <c r="N91" i="1"/>
  <c r="H10" i="39"/>
  <c r="H14" i="39" s="1"/>
  <c r="N105" i="1"/>
  <c r="G9" i="39"/>
  <c r="J53" i="42"/>
  <c r="K86" i="1"/>
  <c r="J24" i="99" s="1"/>
  <c r="J25" i="99" s="1"/>
  <c r="I12" i="39"/>
  <c r="I15" i="39" s="1"/>
  <c r="Q106" i="1"/>
  <c r="I63" i="42"/>
  <c r="I86" i="1"/>
  <c r="I34" i="99" s="1"/>
  <c r="F32" i="39"/>
  <c r="J105" i="1"/>
  <c r="H98" i="1"/>
  <c r="F9" i="39" s="1"/>
  <c r="I52" i="42"/>
  <c r="G84" i="1"/>
  <c r="I90" i="1"/>
  <c r="K90" i="1"/>
  <c r="M101" i="1"/>
  <c r="M106" i="1" s="1"/>
  <c r="J101" i="1"/>
  <c r="N101" i="1"/>
  <c r="M50" i="99" l="1"/>
  <c r="M75" i="99"/>
  <c r="L77" i="99" s="1"/>
  <c r="J68" i="99"/>
  <c r="I70" i="99" s="1"/>
  <c r="H71" i="99" s="1"/>
  <c r="J53" i="99"/>
  <c r="J54" i="99" s="1"/>
  <c r="L48" i="99"/>
  <c r="L46" i="99"/>
  <c r="J58" i="99"/>
  <c r="J45" i="99"/>
  <c r="K61" i="99"/>
  <c r="K59" i="99"/>
  <c r="N50" i="99"/>
  <c r="K63" i="99"/>
  <c r="P14" i="99"/>
  <c r="I15" i="99"/>
  <c r="I78" i="99" s="1"/>
  <c r="P34" i="99"/>
  <c r="I35" i="99"/>
  <c r="P35" i="99" s="1"/>
  <c r="S35" i="99" s="1"/>
  <c r="P52" i="42"/>
  <c r="L20" i="39" s="1"/>
  <c r="J31" i="39" s="1"/>
  <c r="P44" i="42"/>
  <c r="K58" i="42"/>
  <c r="I48" i="42"/>
  <c r="P47" i="42"/>
  <c r="P63" i="42"/>
  <c r="N21" i="39" s="1"/>
  <c r="F33" i="39"/>
  <c r="AG14" i="91" s="1"/>
  <c r="AG9" i="91"/>
  <c r="J54" i="42"/>
  <c r="J57" i="42"/>
  <c r="I67" i="42"/>
  <c r="I91" i="1"/>
  <c r="H12" i="39"/>
  <c r="H15" i="39" s="1"/>
  <c r="N106" i="1"/>
  <c r="I64" i="42"/>
  <c r="F36" i="39"/>
  <c r="J106" i="1"/>
  <c r="G99" i="1"/>
  <c r="G105" i="1" s="1"/>
  <c r="G86" i="1"/>
  <c r="G91" i="1" s="1"/>
  <c r="K91" i="1"/>
  <c r="G90" i="1"/>
  <c r="H84" i="1"/>
  <c r="I20" i="99" s="1"/>
  <c r="K99" i="1"/>
  <c r="I99" i="1"/>
  <c r="I105" i="1" s="1"/>
  <c r="L9" i="39"/>
  <c r="L50" i="99" l="1"/>
  <c r="L75" i="99"/>
  <c r="K77" i="99" s="1"/>
  <c r="M79" i="99"/>
  <c r="K48" i="99"/>
  <c r="K46" i="99"/>
  <c r="J59" i="99"/>
  <c r="J63" i="99"/>
  <c r="J61" i="99"/>
  <c r="P20" i="99"/>
  <c r="I21" i="99"/>
  <c r="P21" i="99" s="1"/>
  <c r="P15" i="99"/>
  <c r="S15" i="99" s="1"/>
  <c r="P48" i="42"/>
  <c r="P64" i="42"/>
  <c r="N22" i="39" s="1"/>
  <c r="P67" i="42"/>
  <c r="N25" i="39" s="1"/>
  <c r="AM5" i="91"/>
  <c r="AN5" i="91" s="1"/>
  <c r="H42" i="39"/>
  <c r="AA7" i="91"/>
  <c r="J58" i="42"/>
  <c r="F37" i="39"/>
  <c r="AG24" i="91"/>
  <c r="I68" i="42"/>
  <c r="H99" i="1"/>
  <c r="H105" i="1" s="1"/>
  <c r="G10" i="39"/>
  <c r="G14" i="39" s="1"/>
  <c r="K105" i="1"/>
  <c r="I53" i="42"/>
  <c r="H86" i="1"/>
  <c r="I24" i="99" s="1"/>
  <c r="H90" i="1"/>
  <c r="G101" i="1"/>
  <c r="G106" i="1" s="1"/>
  <c r="I101" i="1"/>
  <c r="I106" i="1" s="1"/>
  <c r="K101" i="1"/>
  <c r="I63" i="99" l="1"/>
  <c r="H64" i="99" s="1"/>
  <c r="AC4" i="91"/>
  <c r="K50" i="99"/>
  <c r="K75" i="99"/>
  <c r="J77" i="99" s="1"/>
  <c r="J48" i="99"/>
  <c r="J46" i="99"/>
  <c r="L79" i="99"/>
  <c r="P24" i="99"/>
  <c r="I25" i="99"/>
  <c r="P25" i="99" s="1"/>
  <c r="S25" i="99" s="1"/>
  <c r="F10" i="39"/>
  <c r="F14" i="39" s="1"/>
  <c r="J42" i="39"/>
  <c r="P68" i="42"/>
  <c r="N26" i="39" s="1"/>
  <c r="P53" i="42"/>
  <c r="L21" i="39" s="1"/>
  <c r="J32" i="39" s="1"/>
  <c r="I57" i="42"/>
  <c r="H91" i="1"/>
  <c r="G12" i="39"/>
  <c r="G15" i="39" s="1"/>
  <c r="K106" i="1"/>
  <c r="I54" i="42"/>
  <c r="H101" i="1"/>
  <c r="H106" i="1" s="1"/>
  <c r="H82" i="99" l="1"/>
  <c r="J50" i="99"/>
  <c r="J75" i="99"/>
  <c r="I77" i="99" s="1"/>
  <c r="K79" i="99"/>
  <c r="H65" i="99"/>
  <c r="H66" i="99" s="1"/>
  <c r="L10" i="39"/>
  <c r="P54" i="42"/>
  <c r="L22" i="39" s="1"/>
  <c r="J33" i="39" s="1"/>
  <c r="P57" i="42"/>
  <c r="L25" i="39" s="1"/>
  <c r="J36" i="39" s="1"/>
  <c r="AA27" i="91" s="1"/>
  <c r="AM10" i="91"/>
  <c r="AN10" i="91" s="1"/>
  <c r="AA12" i="91"/>
  <c r="H43" i="39"/>
  <c r="I58" i="42"/>
  <c r="L14" i="39"/>
  <c r="F12" i="39"/>
  <c r="H84" i="99" l="1"/>
  <c r="H85" i="99" s="1"/>
  <c r="J79" i="99"/>
  <c r="I79" i="99"/>
  <c r="P58" i="42"/>
  <c r="L26" i="39" s="1"/>
  <c r="J37" i="39" s="1"/>
  <c r="AM15" i="91"/>
  <c r="AN15" i="91" s="1"/>
  <c r="AA17" i="91"/>
  <c r="H44" i="39"/>
  <c r="AC14" i="91" s="1"/>
  <c r="AC9" i="91"/>
  <c r="AM25" i="91"/>
  <c r="AN25" i="91" s="1"/>
  <c r="H47" i="39"/>
  <c r="J43" i="39"/>
  <c r="J73" i="39" s="1"/>
  <c r="J75" i="39" s="1"/>
  <c r="L12" i="39"/>
  <c r="F15" i="39"/>
  <c r="L15" i="39" s="1"/>
  <c r="J77" i="39" l="1"/>
  <c r="H87" i="99" s="1"/>
  <c r="AC24" i="91"/>
  <c r="J47" i="39"/>
  <c r="J44" i="39"/>
  <c r="H48" i="39"/>
  <c r="H88" i="99" l="1"/>
  <c r="H72" i="99"/>
  <c r="H73" i="99" s="1"/>
  <c r="J48" i="39"/>
  <c r="H89" i="99" l="1"/>
  <c r="H98" i="9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<sst xmlns="http://schemas.openxmlformats.org/spreadsheetml/2006/main" count="1542" uniqueCount="894">
  <si>
    <t>τ</t>
  </si>
  <si>
    <t>C</t>
  </si>
  <si>
    <t>I</t>
  </si>
  <si>
    <t>F</t>
  </si>
  <si>
    <r>
      <t>C</t>
    </r>
    <r>
      <rPr>
        <b/>
        <vertAlign val="subscript"/>
        <sz val="10"/>
        <color theme="1"/>
        <rFont val="Arial Black"/>
        <family val="2"/>
      </rPr>
      <t>0</t>
    </r>
  </si>
  <si>
    <r>
      <t>C</t>
    </r>
    <r>
      <rPr>
        <b/>
        <vertAlign val="subscript"/>
        <sz val="10"/>
        <color theme="1"/>
        <rFont val="Arial Black"/>
        <family val="2"/>
      </rPr>
      <t>1</t>
    </r>
  </si>
  <si>
    <r>
      <t>C</t>
    </r>
    <r>
      <rPr>
        <b/>
        <vertAlign val="subscript"/>
        <sz val="10"/>
        <color theme="1"/>
        <rFont val="Arial Black"/>
        <family val="2"/>
      </rPr>
      <t>2</t>
    </r>
  </si>
  <si>
    <r>
      <t>C</t>
    </r>
    <r>
      <rPr>
        <b/>
        <vertAlign val="subscript"/>
        <sz val="10"/>
        <color theme="1"/>
        <rFont val="Arial Black"/>
        <family val="2"/>
      </rPr>
      <t>3</t>
    </r>
  </si>
  <si>
    <r>
      <t>C</t>
    </r>
    <r>
      <rPr>
        <b/>
        <vertAlign val="subscript"/>
        <sz val="10"/>
        <color theme="1"/>
        <rFont val="Arial Black"/>
        <family val="2"/>
      </rPr>
      <t>4</t>
    </r>
  </si>
  <si>
    <r>
      <t>C</t>
    </r>
    <r>
      <rPr>
        <b/>
        <vertAlign val="subscript"/>
        <sz val="10"/>
        <color theme="1"/>
        <rFont val="Arial Black"/>
        <family val="2"/>
      </rPr>
      <t>5</t>
    </r>
  </si>
  <si>
    <t xml:space="preserve"> + AR</t>
  </si>
  <si>
    <t xml:space="preserve"> + S</t>
  </si>
  <si>
    <t xml:space="preserve"> + Inv</t>
  </si>
  <si>
    <t xml:space="preserve"> + ΔInv</t>
  </si>
  <si>
    <t xml:space="preserve"> + NFA</t>
  </si>
  <si>
    <t xml:space="preserve"> – Dep</t>
  </si>
  <si>
    <t xml:space="preserve"> – TP</t>
  </si>
  <si>
    <t xml:space="preserve"> – T</t>
  </si>
  <si>
    <r>
      <t xml:space="preserve"> + C</t>
    </r>
    <r>
      <rPr>
        <i/>
        <vertAlign val="superscript"/>
        <sz val="10"/>
        <rFont val="Cambria"/>
        <family val="1"/>
      </rPr>
      <t>l</t>
    </r>
  </si>
  <si>
    <r>
      <t xml:space="preserve"> + C</t>
    </r>
    <r>
      <rPr>
        <i/>
        <vertAlign val="superscript"/>
        <sz val="10"/>
        <rFont val="Cambria"/>
        <family val="1"/>
      </rPr>
      <t>d</t>
    </r>
  </si>
  <si>
    <r>
      <t xml:space="preserve"> + C</t>
    </r>
    <r>
      <rPr>
        <i/>
        <vertAlign val="superscript"/>
        <sz val="10"/>
        <rFont val="Cambria"/>
        <family val="1"/>
      </rPr>
      <t>e</t>
    </r>
  </si>
  <si>
    <t>$</t>
  </si>
  <si>
    <t>CFE</t>
  </si>
  <si>
    <t>Net Income</t>
  </si>
  <si>
    <t>EBT</t>
  </si>
  <si>
    <t>EBIT</t>
  </si>
  <si>
    <t>EBITDA</t>
  </si>
  <si>
    <t>Gross Profit</t>
  </si>
  <si>
    <t>Financings</t>
  </si>
  <si>
    <t>Investments</t>
  </si>
  <si>
    <t>Equity</t>
  </si>
  <si>
    <t>Debt</t>
  </si>
  <si>
    <t>UoM</t>
  </si>
  <si>
    <t>const</t>
  </si>
  <si>
    <t>Financial Statements</t>
  </si>
  <si>
    <t>Operating Assets</t>
  </si>
  <si>
    <t>OCF</t>
  </si>
  <si>
    <t>Liquid Assets</t>
  </si>
  <si>
    <t>CFL</t>
  </si>
  <si>
    <t>CFD</t>
  </si>
  <si>
    <t>inv</t>
  </si>
  <si>
    <t>fin</t>
  </si>
  <si>
    <r>
      <t>F</t>
    </r>
    <r>
      <rPr>
        <b/>
        <vertAlign val="subscript"/>
        <sz val="12"/>
        <color theme="1"/>
        <rFont val="Arial Black"/>
        <family val="2"/>
      </rPr>
      <t>0</t>
    </r>
  </si>
  <si>
    <r>
      <t>F</t>
    </r>
    <r>
      <rPr>
        <b/>
        <vertAlign val="subscript"/>
        <sz val="12"/>
        <color theme="1"/>
        <rFont val="Arial Black"/>
        <family val="2"/>
      </rPr>
      <t>1</t>
    </r>
  </si>
  <si>
    <r>
      <t>F</t>
    </r>
    <r>
      <rPr>
        <b/>
        <vertAlign val="subscript"/>
        <sz val="12"/>
        <color theme="1"/>
        <rFont val="Arial Black"/>
        <family val="2"/>
      </rPr>
      <t>2</t>
    </r>
  </si>
  <si>
    <r>
      <t>F</t>
    </r>
    <r>
      <rPr>
        <b/>
        <vertAlign val="subscript"/>
        <sz val="12"/>
        <color theme="1"/>
        <rFont val="Arial Black"/>
        <family val="2"/>
      </rPr>
      <t>3</t>
    </r>
  </si>
  <si>
    <r>
      <t>F</t>
    </r>
    <r>
      <rPr>
        <b/>
        <vertAlign val="subscript"/>
        <sz val="12"/>
        <color theme="1"/>
        <rFont val="Arial Black"/>
        <family val="2"/>
      </rPr>
      <t>4</t>
    </r>
  </si>
  <si>
    <r>
      <t>F</t>
    </r>
    <r>
      <rPr>
        <b/>
        <vertAlign val="subscript"/>
        <sz val="12"/>
        <color theme="1"/>
        <rFont val="Arial Black"/>
        <family val="2"/>
      </rPr>
      <t>5</t>
    </r>
  </si>
  <si>
    <r>
      <t>–F</t>
    </r>
    <r>
      <rPr>
        <b/>
        <vertAlign val="subscript"/>
        <sz val="10"/>
        <color theme="1"/>
        <rFont val="Arial Black"/>
        <family val="2"/>
      </rPr>
      <t>0</t>
    </r>
  </si>
  <si>
    <t>–F</t>
  </si>
  <si>
    <t>assumption</t>
  </si>
  <si>
    <t xml:space="preserve"> + Sales</t>
  </si>
  <si>
    <t xml:space="preserve"> + Inventory</t>
  </si>
  <si>
    <t xml:space="preserve"> + (Net) Fixed Assets</t>
  </si>
  <si>
    <t xml:space="preserve"> – Depreciation</t>
  </si>
  <si>
    <t xml:space="preserve"> – Taxes Payable</t>
  </si>
  <si>
    <t xml:space="preserve"> – Taxes</t>
  </si>
  <si>
    <t xml:space="preserve"> + Interest income</t>
  </si>
  <si>
    <t xml:space="preserve"> + Interest expenses</t>
  </si>
  <si>
    <t xml:space="preserve"> + Net Income</t>
  </si>
  <si>
    <t>%</t>
  </si>
  <si>
    <t>Loan Interest Rate</t>
  </si>
  <si>
    <t>Loan</t>
  </si>
  <si>
    <t>Interest rate on liquid assets</t>
  </si>
  <si>
    <t>u</t>
  </si>
  <si>
    <t>Sales</t>
  </si>
  <si>
    <t>$ / u</t>
  </si>
  <si>
    <t>Unit Cost of Purchases</t>
  </si>
  <si>
    <t>Fixed Assets</t>
  </si>
  <si>
    <t>Taxes</t>
  </si>
  <si>
    <t>y</t>
  </si>
  <si>
    <t>Loan reimbursement periods</t>
  </si>
  <si>
    <r>
      <t>+I</t>
    </r>
    <r>
      <rPr>
        <b/>
        <vertAlign val="subscript"/>
        <sz val="10"/>
        <color theme="1"/>
        <rFont val="Arial Black"/>
        <family val="2"/>
      </rPr>
      <t>0</t>
    </r>
  </si>
  <si>
    <r>
      <t>+I</t>
    </r>
    <r>
      <rPr>
        <b/>
        <vertAlign val="subscript"/>
        <sz val="10"/>
        <color theme="1"/>
        <rFont val="Arial Black"/>
        <family val="2"/>
      </rPr>
      <t>1</t>
    </r>
    <r>
      <rPr>
        <sz val="11"/>
        <color theme="1"/>
        <rFont val="Calibri"/>
        <family val="2"/>
        <scheme val="minor"/>
      </rPr>
      <t/>
    </r>
  </si>
  <si>
    <r>
      <t>–F</t>
    </r>
    <r>
      <rPr>
        <b/>
        <vertAlign val="subscript"/>
        <sz val="10"/>
        <color theme="1"/>
        <rFont val="Arial Black"/>
        <family val="2"/>
      </rPr>
      <t>1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</si>
  <si>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theme="1"/>
        <rFont val="Arial Black"/>
        <family val="2"/>
      </rPr>
      <t>1</t>
    </r>
    <r>
      <rPr>
        <sz val="11"/>
        <color theme="1"/>
        <rFont val="Calibri"/>
        <family val="2"/>
        <scheme val="minor"/>
      </rPr>
      <t/>
    </r>
  </si>
  <si>
    <r>
      <t>+I</t>
    </r>
    <r>
      <rPr>
        <b/>
        <vertAlign val="subscript"/>
        <sz val="10"/>
        <color theme="1"/>
        <rFont val="Arial Black"/>
        <family val="2"/>
      </rPr>
      <t>2</t>
    </r>
    <r>
      <rPr>
        <sz val="11"/>
        <color theme="1"/>
        <rFont val="Calibri"/>
        <family val="2"/>
        <scheme val="minor"/>
      </rPr>
      <t/>
    </r>
  </si>
  <si>
    <r>
      <t>–F</t>
    </r>
    <r>
      <rPr>
        <b/>
        <vertAlign val="subscript"/>
        <sz val="10"/>
        <color theme="1"/>
        <rFont val="Arial Black"/>
        <family val="2"/>
      </rPr>
      <t>2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</si>
  <si>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theme="1"/>
        <rFont val="Arial Black"/>
        <family val="2"/>
      </rPr>
      <t>2</t>
    </r>
    <r>
      <rPr>
        <sz val="11"/>
        <color theme="1"/>
        <rFont val="Calibri"/>
        <family val="2"/>
        <scheme val="minor"/>
      </rPr>
      <t/>
    </r>
  </si>
  <si>
    <r>
      <t>+I</t>
    </r>
    <r>
      <rPr>
        <b/>
        <vertAlign val="subscript"/>
        <sz val="10"/>
        <color theme="1"/>
        <rFont val="Arial Black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</si>
  <si>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–F</t>
    </r>
    <r>
      <rPr>
        <b/>
        <vertAlign val="subscript"/>
        <sz val="10"/>
        <color theme="1"/>
        <rFont val="Arial Black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</si>
  <si>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theme="1"/>
        <rFont val="Arial Black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</si>
  <si>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+I</t>
    </r>
    <r>
      <rPr>
        <b/>
        <vertAlign val="subscript"/>
        <sz val="10"/>
        <color theme="1"/>
        <rFont val="Arial Black"/>
        <family val="2"/>
      </rPr>
      <t>4</t>
    </r>
    <r>
      <rPr>
        <sz val="11"/>
        <color theme="1"/>
        <rFont val="Calibri"/>
        <family val="2"/>
        <scheme val="minor"/>
      </rPr>
      <t/>
    </r>
  </si>
  <si>
    <r>
      <t>–F</t>
    </r>
    <r>
      <rPr>
        <b/>
        <vertAlign val="subscript"/>
        <sz val="10"/>
        <color theme="1"/>
        <rFont val="Arial Black"/>
        <family val="2"/>
      </rPr>
      <t>4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</si>
  <si>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theme="1"/>
        <rFont val="Arial Black"/>
        <family val="2"/>
      </rPr>
      <t>4</t>
    </r>
    <r>
      <rPr>
        <sz val="11"/>
        <color theme="1"/>
        <rFont val="Calibri"/>
        <family val="2"/>
        <scheme val="minor"/>
      </rPr>
      <t/>
    </r>
  </si>
  <si>
    <r>
      <t>+I</t>
    </r>
    <r>
      <rPr>
        <b/>
        <vertAlign val="subscript"/>
        <sz val="10"/>
        <color theme="1"/>
        <rFont val="Arial Black"/>
        <family val="2"/>
      </rPr>
      <t>5</t>
    </r>
    <r>
      <rPr>
        <sz val="11"/>
        <color theme="1"/>
        <rFont val="Calibri"/>
        <family val="2"/>
        <scheme val="minor"/>
      </rPr>
      <t/>
    </r>
  </si>
  <si>
    <r>
      <t>–F</t>
    </r>
    <r>
      <rPr>
        <b/>
        <vertAlign val="subscript"/>
        <sz val="10"/>
        <color theme="1"/>
        <rFont val="Arial Black"/>
        <family val="2"/>
      </rPr>
      <t>5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</si>
  <si>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theme="1"/>
        <rFont val="Arial Black"/>
        <family val="2"/>
      </rPr>
      <t>5</t>
    </r>
    <r>
      <rPr>
        <sz val="11"/>
        <color theme="1"/>
        <rFont val="Calibri"/>
        <family val="2"/>
        <scheme val="minor"/>
      </rPr>
      <t/>
    </r>
  </si>
  <si>
    <r>
      <t xml:space="preserve"> – LC</t>
    </r>
    <r>
      <rPr>
        <i/>
        <vertAlign val="superscript"/>
        <sz val="10"/>
        <color rgb="FFC00000"/>
        <rFont val="Cambria"/>
        <family val="1"/>
      </rPr>
      <t>m</t>
    </r>
  </si>
  <si>
    <r>
      <t xml:space="preserve"> – COP</t>
    </r>
    <r>
      <rPr>
        <i/>
        <vertAlign val="superscript"/>
        <sz val="10"/>
        <color rgb="FFC00000"/>
        <rFont val="Cambria"/>
        <family val="1"/>
      </rPr>
      <t>m</t>
    </r>
  </si>
  <si>
    <r>
      <t xml:space="preserve"> – AP</t>
    </r>
    <r>
      <rPr>
        <i/>
        <vertAlign val="superscript"/>
        <sz val="10"/>
        <color rgb="FFC00000"/>
        <rFont val="Cambria"/>
        <family val="1"/>
      </rPr>
      <t>m</t>
    </r>
  </si>
  <si>
    <r>
      <t xml:space="preserve"> – COP</t>
    </r>
    <r>
      <rPr>
        <i/>
        <vertAlign val="superscript"/>
        <sz val="10"/>
        <color rgb="FFC00000"/>
        <rFont val="Cambria"/>
        <family val="1"/>
      </rPr>
      <t>nm</t>
    </r>
  </si>
  <si>
    <r>
      <t xml:space="preserve"> – AP</t>
    </r>
    <r>
      <rPr>
        <i/>
        <vertAlign val="superscript"/>
        <sz val="10"/>
        <color rgb="FFC00000"/>
        <rFont val="Cambria"/>
        <family val="1"/>
      </rPr>
      <t>nm</t>
    </r>
  </si>
  <si>
    <r>
      <t xml:space="preserve"> – LC</t>
    </r>
    <r>
      <rPr>
        <i/>
        <vertAlign val="superscript"/>
        <sz val="10"/>
        <color rgb="FFC00000"/>
        <rFont val="Cambria"/>
        <family val="1"/>
      </rPr>
      <t>nm</t>
    </r>
  </si>
  <si>
    <t>V</t>
  </si>
  <si>
    <t>NPV</t>
  </si>
  <si>
    <r>
      <t>V</t>
    </r>
    <r>
      <rPr>
        <b/>
        <vertAlign val="subscript"/>
        <sz val="10"/>
        <rFont val="Arial Black"/>
        <family val="2"/>
      </rPr>
      <t>0</t>
    </r>
    <r>
      <rPr>
        <b/>
        <sz val="10"/>
        <rFont val="Arial Black"/>
        <family val="2"/>
      </rPr>
      <t>–C</t>
    </r>
    <r>
      <rPr>
        <b/>
        <vertAlign val="subscript"/>
        <sz val="10"/>
        <rFont val="Arial Black"/>
        <family val="2"/>
      </rPr>
      <t>0</t>
    </r>
  </si>
  <si>
    <r>
      <t>+I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0</t>
    </r>
    <r>
      <rPr>
        <b/>
        <sz val="10"/>
        <color theme="1"/>
        <rFont val="Arial Black"/>
        <family val="2"/>
      </rPr>
      <t>–I</t>
    </r>
    <r>
      <rPr>
        <b/>
        <vertAlign val="subscript"/>
        <sz val="10"/>
        <color theme="1"/>
        <rFont val="Arial Black"/>
        <family val="2"/>
      </rPr>
      <t>0</t>
    </r>
  </si>
  <si>
    <r>
      <t>+I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1</t>
    </r>
    <r>
      <rPr>
        <b/>
        <sz val="10"/>
        <color theme="1"/>
        <rFont val="Arial Black"/>
        <family val="2"/>
      </rPr>
      <t>–I</t>
    </r>
    <r>
      <rPr>
        <b/>
        <vertAlign val="subscript"/>
        <sz val="10"/>
        <color theme="1"/>
        <rFont val="Arial Black"/>
        <family val="2"/>
      </rPr>
      <t>1</t>
    </r>
  </si>
  <si>
    <r>
      <t>V</t>
    </r>
    <r>
      <rPr>
        <b/>
        <vertAlign val="subscript"/>
        <sz val="10"/>
        <rFont val="Arial Black"/>
        <family val="2"/>
      </rPr>
      <t>1</t>
    </r>
    <r>
      <rPr>
        <b/>
        <sz val="10"/>
        <rFont val="Arial Black"/>
        <family val="2"/>
      </rPr>
      <t>–C</t>
    </r>
    <r>
      <rPr>
        <b/>
        <vertAlign val="subscript"/>
        <sz val="10"/>
        <rFont val="Arial Black"/>
        <family val="2"/>
      </rPr>
      <t>1</t>
    </r>
  </si>
  <si>
    <r>
      <t>+I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2</t>
    </r>
    <r>
      <rPr>
        <b/>
        <sz val="10"/>
        <color theme="1"/>
        <rFont val="Arial Black"/>
        <family val="2"/>
      </rPr>
      <t>–I</t>
    </r>
    <r>
      <rPr>
        <b/>
        <vertAlign val="subscript"/>
        <sz val="10"/>
        <color theme="1"/>
        <rFont val="Arial Black"/>
        <family val="2"/>
      </rPr>
      <t>2</t>
    </r>
  </si>
  <si>
    <r>
      <t>V</t>
    </r>
    <r>
      <rPr>
        <b/>
        <vertAlign val="subscript"/>
        <sz val="10"/>
        <rFont val="Arial Black"/>
        <family val="2"/>
      </rPr>
      <t>2</t>
    </r>
    <r>
      <rPr>
        <b/>
        <sz val="10"/>
        <rFont val="Arial Black"/>
        <family val="2"/>
      </rPr>
      <t>–C</t>
    </r>
    <r>
      <rPr>
        <b/>
        <vertAlign val="subscript"/>
        <sz val="10"/>
        <rFont val="Arial Black"/>
        <family val="2"/>
      </rPr>
      <t>2</t>
    </r>
  </si>
  <si>
    <r>
      <t>+I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3</t>
    </r>
    <r>
      <rPr>
        <b/>
        <sz val="10"/>
        <color theme="1"/>
        <rFont val="Arial Black"/>
        <family val="2"/>
      </rPr>
      <t>–I</t>
    </r>
    <r>
      <rPr>
        <b/>
        <vertAlign val="subscript"/>
        <sz val="10"/>
        <color theme="1"/>
        <rFont val="Arial Black"/>
        <family val="2"/>
      </rPr>
      <t>3</t>
    </r>
  </si>
  <si>
    <r>
      <t>+I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4</t>
    </r>
    <r>
      <rPr>
        <b/>
        <sz val="10"/>
        <color theme="1"/>
        <rFont val="Arial Black"/>
        <family val="2"/>
      </rPr>
      <t>–I</t>
    </r>
    <r>
      <rPr>
        <b/>
        <vertAlign val="subscript"/>
        <sz val="10"/>
        <color theme="1"/>
        <rFont val="Arial Black"/>
        <family val="2"/>
      </rPr>
      <t>4</t>
    </r>
  </si>
  <si>
    <r>
      <t>V</t>
    </r>
    <r>
      <rPr>
        <b/>
        <vertAlign val="subscript"/>
        <sz val="10"/>
        <rFont val="Arial Black"/>
        <family val="2"/>
      </rPr>
      <t>4</t>
    </r>
    <r>
      <rPr>
        <b/>
        <sz val="10"/>
        <rFont val="Arial Black"/>
        <family val="2"/>
      </rPr>
      <t>–C</t>
    </r>
    <r>
      <rPr>
        <b/>
        <vertAlign val="subscript"/>
        <sz val="10"/>
        <rFont val="Arial Black"/>
        <family val="2"/>
      </rPr>
      <t>4</t>
    </r>
  </si>
  <si>
    <r>
      <t>+I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5</t>
    </r>
    <r>
      <rPr>
        <b/>
        <sz val="10"/>
        <color theme="1"/>
        <rFont val="Arial Black"/>
        <family val="2"/>
      </rPr>
      <t>–I</t>
    </r>
    <r>
      <rPr>
        <b/>
        <vertAlign val="subscript"/>
        <sz val="10"/>
        <color theme="1"/>
        <rFont val="Arial Black"/>
        <family val="2"/>
      </rPr>
      <t>5</t>
    </r>
  </si>
  <si>
    <r>
      <t>V</t>
    </r>
    <r>
      <rPr>
        <b/>
        <vertAlign val="subscript"/>
        <sz val="10"/>
        <rFont val="Arial Black"/>
        <family val="2"/>
      </rPr>
      <t>5</t>
    </r>
    <r>
      <rPr>
        <b/>
        <sz val="10"/>
        <rFont val="Arial Black"/>
        <family val="2"/>
      </rPr>
      <t>–C</t>
    </r>
    <r>
      <rPr>
        <b/>
        <vertAlign val="subscript"/>
        <sz val="10"/>
        <rFont val="Arial Black"/>
        <family val="2"/>
      </rPr>
      <t>5</t>
    </r>
  </si>
  <si>
    <t>Market Value Added: Germ Matrix</t>
  </si>
  <si>
    <t>Measuring value creation and financial efficiency</t>
  </si>
  <si>
    <t xml:space="preserve"> – Cost of Purchases (manufacturing)</t>
  </si>
  <si>
    <t xml:space="preserve"> – Labor costs (manufacturing)</t>
  </si>
  <si>
    <t xml:space="preserve"> – Accounts Payable (manufacturing)</t>
  </si>
  <si>
    <t xml:space="preserve"> – Accounts Payable (nonmanufacturing)</t>
  </si>
  <si>
    <t xml:space="preserve"> – Cost of Purchases (nonmanufacturing)</t>
  </si>
  <si>
    <t xml:space="preserve"> – Labor costs (nonmanufacturing)</t>
  </si>
  <si>
    <t xml:space="preserve"> – S&amp;W Payable (nonmanufacturing)</t>
  </si>
  <si>
    <t>DSO (Days Sales Outstanding)</t>
  </si>
  <si>
    <t>dd</t>
  </si>
  <si>
    <t xml:space="preserve"> – Δ inventory</t>
  </si>
  <si>
    <t>Capital Payment (period 0)</t>
  </si>
  <si>
    <t>Depreciation</t>
  </si>
  <si>
    <t>DPO (Days Payable Outstanding)</t>
  </si>
  <si>
    <t>Operating cycle</t>
  </si>
  <si>
    <t>Pay period</t>
  </si>
  <si>
    <t>Cost of purchases (SGA) (% of Sales)</t>
  </si>
  <si>
    <t>Payout policy</t>
  </si>
  <si>
    <t xml:space="preserve"> + Income from inventory (Δ Inventory)</t>
  </si>
  <si>
    <t xml:space="preserve"> + Debt</t>
  </si>
  <si>
    <t xml:space="preserve"> + Equity</t>
  </si>
  <si>
    <t xml:space="preserve"> + Cash flow to debt</t>
  </si>
  <si>
    <t xml:space="preserve"> – Payments to suppliers (manufacturing)</t>
  </si>
  <si>
    <t xml:space="preserve"> – Payments to suppliers (nonmanufacturing)</t>
  </si>
  <si>
    <t xml:space="preserve"> – Payments to employees (manufacturing)</t>
  </si>
  <si>
    <t xml:space="preserve"> – Payments to employees (nonmanufacturing)</t>
  </si>
  <si>
    <t xml:space="preserve"> + Cash flow from liquid assets (net of deposits)</t>
  </si>
  <si>
    <t xml:space="preserve"> + Cash flow to equity</t>
  </si>
  <si>
    <t>Labor costs (SGA)</t>
  </si>
  <si>
    <t>straight-line</t>
  </si>
  <si>
    <t>Growth rate (%/year)</t>
  </si>
  <si>
    <t>Unit Price</t>
  </si>
  <si>
    <t>Equity financing</t>
  </si>
  <si>
    <t>Debt financing</t>
  </si>
  <si>
    <t>operating</t>
  </si>
  <si>
    <t>financial</t>
  </si>
  <si>
    <t>estimate</t>
  </si>
  <si>
    <t>decision</t>
  </si>
  <si>
    <t>Parameter type</t>
  </si>
  <si>
    <t>Manufacturing Costs (COGS)</t>
  </si>
  <si>
    <t>NonManufacturing Costs (SGA)</t>
  </si>
  <si>
    <t>monthly</t>
  </si>
  <si>
    <t>Salaries and Wages will be paid</t>
  </si>
  <si>
    <t>Raw Materials Inventory (% of next-period consumption)</t>
  </si>
  <si>
    <t>Principal repayment</t>
  </si>
  <si>
    <t xml:space="preserve"> – 0</t>
  </si>
  <si>
    <t>financial efficiency</t>
  </si>
  <si>
    <t>Project: Full-scale Matrix</t>
  </si>
  <si>
    <t>o</t>
  </si>
  <si>
    <t>l</t>
  </si>
  <si>
    <t>d</t>
  </si>
  <si>
    <t>e</t>
  </si>
  <si>
    <t>NOL-framed Matrix</t>
  </si>
  <si>
    <t xml:space="preserve"> + OpC</t>
  </si>
  <si>
    <t xml:space="preserve"> – NOL</t>
  </si>
  <si>
    <r>
      <t xml:space="preserve"> – NOL</t>
    </r>
    <r>
      <rPr>
        <i/>
        <vertAlign val="superscript"/>
        <sz val="10"/>
        <rFont val="Cambria"/>
        <family val="1"/>
      </rPr>
      <t>nm</t>
    </r>
  </si>
  <si>
    <r>
      <t xml:space="preserve"> – NOL</t>
    </r>
    <r>
      <rPr>
        <i/>
        <vertAlign val="superscript"/>
        <sz val="10"/>
        <rFont val="Cambria"/>
        <family val="1"/>
      </rPr>
      <t>m</t>
    </r>
  </si>
  <si>
    <t>Expanded Matrix (by function)</t>
  </si>
  <si>
    <t>NOWC-framed Matrix</t>
  </si>
  <si>
    <t xml:space="preserve"> + NOWC</t>
  </si>
  <si>
    <t>Split-Screen Matrix</t>
  </si>
  <si>
    <t xml:space="preserve">t: </t>
  </si>
  <si>
    <t xml:space="preserve"> + Cash receipts from customers</t>
  </si>
  <si>
    <t xml:space="preserve"> + Cash flow from inventory (= 0)</t>
  </si>
  <si>
    <r>
      <t xml:space="preserve"> – AP</t>
    </r>
    <r>
      <rPr>
        <i/>
        <vertAlign val="superscript"/>
        <sz val="10"/>
        <rFont val="Cambria"/>
        <family val="1"/>
      </rPr>
      <t>m</t>
    </r>
  </si>
  <si>
    <r>
      <t xml:space="preserve"> – AP</t>
    </r>
    <r>
      <rPr>
        <i/>
        <vertAlign val="superscript"/>
        <sz val="10"/>
        <rFont val="Cambria"/>
        <family val="1"/>
      </rPr>
      <t>nm</t>
    </r>
  </si>
  <si>
    <r>
      <t xml:space="preserve"> – SWP</t>
    </r>
    <r>
      <rPr>
        <i/>
        <vertAlign val="superscript"/>
        <sz val="10"/>
        <rFont val="Cambria"/>
        <family val="1"/>
      </rPr>
      <t>m</t>
    </r>
  </si>
  <si>
    <r>
      <t xml:space="preserve"> – SWP</t>
    </r>
    <r>
      <rPr>
        <i/>
        <vertAlign val="superscript"/>
        <sz val="10"/>
        <rFont val="Cambria"/>
        <family val="1"/>
      </rPr>
      <t>nm</t>
    </r>
  </si>
  <si>
    <t xml:space="preserve"> – COGS</t>
  </si>
  <si>
    <t xml:space="preserve"> – SGA</t>
  </si>
  <si>
    <t>Economic Residual Income (ERI)</t>
  </si>
  <si>
    <t xml:space="preserve"> </t>
  </si>
  <si>
    <t>Taxes are paid</t>
  </si>
  <si>
    <t>yearly</t>
  </si>
  <si>
    <t>Project period flag</t>
  </si>
  <si>
    <t>flag</t>
  </si>
  <si>
    <t>Investment period flag</t>
  </si>
  <si>
    <t>End of Project period flag</t>
  </si>
  <si>
    <t>Time</t>
  </si>
  <si>
    <t>Loan reimbursement period flag</t>
  </si>
  <si>
    <t xml:space="preserve"> + Liquid Assets</t>
  </si>
  <si>
    <t xml:space="preserve"> – S&amp;W Payable (manufacturing)</t>
  </si>
  <si>
    <t xml:space="preserve"> + Accounts Receivable</t>
  </si>
  <si>
    <t>Sales projection of the first period</t>
  </si>
  <si>
    <r>
      <t>r</t>
    </r>
    <r>
      <rPr>
        <i/>
        <vertAlign val="superscript"/>
        <sz val="10"/>
        <color theme="1"/>
        <rFont val="Cambria"/>
        <family val="1"/>
      </rPr>
      <t>o</t>
    </r>
  </si>
  <si>
    <r>
      <t>r</t>
    </r>
    <r>
      <rPr>
        <i/>
        <vertAlign val="superscript"/>
        <sz val="10"/>
        <color theme="1"/>
        <rFont val="Cambria"/>
        <family val="1"/>
      </rPr>
      <t>l</t>
    </r>
  </si>
  <si>
    <r>
      <t>r</t>
    </r>
    <r>
      <rPr>
        <i/>
        <vertAlign val="superscript"/>
        <sz val="10"/>
        <color theme="1"/>
        <rFont val="Cambria"/>
        <family val="1"/>
      </rPr>
      <t>d</t>
    </r>
  </si>
  <si>
    <t xml:space="preserve"> – COP</t>
  </si>
  <si>
    <t xml:space="preserve"> – LC</t>
  </si>
  <si>
    <t xml:space="preserve"> – AP</t>
  </si>
  <si>
    <t xml:space="preserve"> – SWP</t>
  </si>
  <si>
    <t>Expanded Matrix (by nature)</t>
  </si>
  <si>
    <t xml:space="preserve"> + Net Operating WC</t>
  </si>
  <si>
    <t xml:space="preserve"> + Operating Assets</t>
  </si>
  <si>
    <t>Balance Sheet</t>
  </si>
  <si>
    <t>Income Statement</t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</si>
  <si>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C</t>
    </r>
    <r>
      <rPr>
        <i/>
        <vertAlign val="superscript"/>
        <sz val="10"/>
        <rFont val="Cambria"/>
        <family val="1"/>
      </rPr>
      <t>e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</si>
  <si>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C</t>
    </r>
    <r>
      <rPr>
        <i/>
        <vertAlign val="superscript"/>
        <sz val="10"/>
        <rFont val="Cambria"/>
        <family val="1"/>
      </rPr>
      <t>d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</si>
  <si>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C</t>
    </r>
    <r>
      <rPr>
        <i/>
        <vertAlign val="superscript"/>
        <sz val="10"/>
        <rFont val="Cambria"/>
        <family val="1"/>
      </rPr>
      <t>l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</si>
  <si>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l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</si>
  <si>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d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</si>
  <si>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e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</si>
  <si>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l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</si>
  <si>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d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</si>
  <si>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e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</si>
  <si>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ar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</si>
  <si>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nfa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</si>
  <si>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tp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</si>
  <si>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swp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</si>
  <si>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ap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</si>
  <si>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cogs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</si>
  <si>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sga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</si>
  <si>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nol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</si>
  <si>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o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</si>
  <si>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nowc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</si>
  <si>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o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</si>
  <si>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C</t>
    </r>
    <r>
      <rPr>
        <i/>
        <vertAlign val="superscript"/>
        <sz val="10"/>
        <rFont val="Cambria"/>
        <family val="1"/>
      </rPr>
      <t>o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</si>
  <si>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vertAlign val="superscript"/>
        <sz val="10"/>
        <rFont val="Cambria"/>
        <family val="1"/>
      </rPr>
      <t>inv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</si>
  <si>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vertAlign val="superscript"/>
        <sz val="10"/>
        <rFont val="Cambria"/>
        <family val="1"/>
      </rPr>
      <t>fin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</si>
  <si>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vertAlign val="superscript"/>
        <sz val="10"/>
        <rFont val="Cambria"/>
        <family val="1"/>
      </rPr>
      <t>fin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</si>
  <si>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vertAlign val="superscript"/>
        <sz val="10"/>
        <rFont val="Cambria"/>
        <family val="1"/>
      </rPr>
      <t>inv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</si>
  <si>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C</t>
    </r>
    <r>
      <rPr>
        <vertAlign val="superscript"/>
        <sz val="10"/>
        <rFont val="Cambria"/>
        <family val="1"/>
      </rPr>
      <t>inv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</si>
  <si>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C</t>
    </r>
    <r>
      <rPr>
        <vertAlign val="superscript"/>
        <sz val="10"/>
        <rFont val="Cambria"/>
        <family val="1"/>
      </rPr>
      <t>fin</t>
    </r>
  </si>
  <si>
    <r>
      <rPr>
        <sz val="10"/>
        <color rgb="FFC00000"/>
        <rFont val="Cambria"/>
        <family val="1"/>
      </rPr>
      <t xml:space="preserve"> + </t>
    </r>
    <r>
      <rPr>
        <i/>
        <sz val="10"/>
        <color rgb="FFC00000"/>
        <rFont val="Cambria"/>
        <family val="1"/>
      </rPr>
      <t>F</t>
    </r>
    <r>
      <rPr>
        <i/>
        <vertAlign val="superscript"/>
        <sz val="10"/>
        <color rgb="FFC00000"/>
        <rFont val="Cambria"/>
        <family val="1"/>
      </rPr>
      <t>swp,m</t>
    </r>
  </si>
  <si>
    <r>
      <rPr>
        <sz val="10"/>
        <color rgb="FFC00000"/>
        <rFont val="Cambria"/>
        <family val="1"/>
      </rPr>
      <t xml:space="preserve"> + </t>
    </r>
    <r>
      <rPr>
        <i/>
        <sz val="10"/>
        <color rgb="FFC00000"/>
        <rFont val="Cambria"/>
        <family val="1"/>
      </rPr>
      <t>F</t>
    </r>
    <r>
      <rPr>
        <i/>
        <vertAlign val="superscript"/>
        <sz val="10"/>
        <color rgb="FFC00000"/>
        <rFont val="Cambria"/>
        <family val="1"/>
      </rPr>
      <t>swp,nm</t>
    </r>
  </si>
  <si>
    <r>
      <rPr>
        <sz val="10"/>
        <color rgb="FFC00000"/>
        <rFont val="Cambria"/>
        <family val="1"/>
      </rPr>
      <t xml:space="preserve"> + </t>
    </r>
    <r>
      <rPr>
        <i/>
        <sz val="10"/>
        <color rgb="FFC00000"/>
        <rFont val="Cambria"/>
        <family val="1"/>
      </rPr>
      <t>C</t>
    </r>
    <r>
      <rPr>
        <i/>
        <vertAlign val="superscript"/>
        <sz val="10"/>
        <color rgb="FFC00000"/>
        <rFont val="Cambria"/>
        <family val="1"/>
      </rPr>
      <t>d</t>
    </r>
  </si>
  <si>
    <r>
      <rPr>
        <sz val="10"/>
        <color rgb="FFC00000"/>
        <rFont val="Cambria"/>
        <family val="1"/>
      </rPr>
      <t xml:space="preserve"> – </t>
    </r>
    <r>
      <rPr>
        <i/>
        <sz val="10"/>
        <color rgb="FFC00000"/>
        <rFont val="Cambria"/>
        <family val="1"/>
      </rPr>
      <t>F</t>
    </r>
    <r>
      <rPr>
        <i/>
        <vertAlign val="superscript"/>
        <sz val="10"/>
        <color rgb="FFC00000"/>
        <rFont val="Cambria"/>
        <family val="1"/>
      </rPr>
      <t>nfa</t>
    </r>
  </si>
  <si>
    <r>
      <rPr>
        <b/>
        <sz val="10"/>
        <rFont val="Cambria"/>
        <family val="1"/>
      </rPr>
      <t xml:space="preserve"> + </t>
    </r>
    <r>
      <rPr>
        <b/>
        <i/>
        <sz val="10"/>
        <rFont val="Cambria"/>
        <family val="1"/>
      </rPr>
      <t>I</t>
    </r>
    <r>
      <rPr>
        <b/>
        <i/>
        <vertAlign val="superscript"/>
        <sz val="10"/>
        <color theme="1" tint="0.34998626667073579"/>
        <rFont val="Cambria"/>
        <family val="1"/>
      </rPr>
      <t>e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</si>
  <si>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8"/>
        <rFont val="Cambria"/>
        <family val="1"/>
      </rPr>
      <t>l</t>
    </r>
  </si>
  <si>
    <t>Four-area Matrix</t>
  </si>
  <si>
    <t>Germ Matrix</t>
  </si>
  <si>
    <r>
      <t>–(F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0</t>
    </r>
    <r>
      <rPr>
        <b/>
        <sz val="10"/>
        <color theme="1"/>
        <rFont val="Arial Black"/>
        <family val="2"/>
      </rPr>
      <t>–F</t>
    </r>
    <r>
      <rPr>
        <b/>
        <vertAlign val="subscript"/>
        <sz val="10"/>
        <color theme="1"/>
        <rFont val="Arial Black"/>
        <family val="2"/>
      </rPr>
      <t>0</t>
    </r>
    <r>
      <rPr>
        <b/>
        <sz val="10"/>
        <color theme="1"/>
        <rFont val="Arial Black"/>
        <family val="2"/>
      </rPr>
      <t>)</t>
    </r>
  </si>
  <si>
    <r>
      <t>–(F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1</t>
    </r>
    <r>
      <rPr>
        <b/>
        <sz val="10"/>
        <color theme="1"/>
        <rFont val="Arial Black"/>
        <family val="2"/>
      </rPr>
      <t>–F</t>
    </r>
    <r>
      <rPr>
        <b/>
        <vertAlign val="subscript"/>
        <sz val="10"/>
        <color theme="1"/>
        <rFont val="Arial Black"/>
        <family val="2"/>
      </rPr>
      <t>1</t>
    </r>
    <r>
      <rPr>
        <b/>
        <sz val="10"/>
        <color theme="1"/>
        <rFont val="Arial Black"/>
        <family val="2"/>
      </rPr>
      <t>)</t>
    </r>
  </si>
  <si>
    <r>
      <t>–(F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2</t>
    </r>
    <r>
      <rPr>
        <b/>
        <sz val="10"/>
        <color theme="1"/>
        <rFont val="Arial Black"/>
        <family val="2"/>
      </rPr>
      <t>–F</t>
    </r>
    <r>
      <rPr>
        <b/>
        <vertAlign val="subscript"/>
        <sz val="10"/>
        <color theme="1"/>
        <rFont val="Arial Black"/>
        <family val="2"/>
      </rPr>
      <t>2</t>
    </r>
    <r>
      <rPr>
        <b/>
        <sz val="10"/>
        <color theme="1"/>
        <rFont val="Arial Black"/>
        <family val="2"/>
      </rPr>
      <t>)</t>
    </r>
  </si>
  <si>
    <r>
      <t>–(F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3</t>
    </r>
    <r>
      <rPr>
        <b/>
        <sz val="10"/>
        <color theme="1"/>
        <rFont val="Arial Black"/>
        <family val="2"/>
      </rPr>
      <t>–F</t>
    </r>
    <r>
      <rPr>
        <b/>
        <vertAlign val="subscript"/>
        <sz val="10"/>
        <color theme="1"/>
        <rFont val="Arial Black"/>
        <family val="2"/>
      </rPr>
      <t>3</t>
    </r>
    <r>
      <rPr>
        <b/>
        <sz val="10"/>
        <color theme="1"/>
        <rFont val="Arial Black"/>
        <family val="2"/>
      </rPr>
      <t>)</t>
    </r>
  </si>
  <si>
    <r>
      <t>–(F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4</t>
    </r>
    <r>
      <rPr>
        <b/>
        <sz val="10"/>
        <color theme="1"/>
        <rFont val="Arial Black"/>
        <family val="2"/>
      </rPr>
      <t>–F</t>
    </r>
    <r>
      <rPr>
        <b/>
        <vertAlign val="subscript"/>
        <sz val="10"/>
        <color theme="1"/>
        <rFont val="Arial Black"/>
        <family val="2"/>
      </rPr>
      <t>4</t>
    </r>
    <r>
      <rPr>
        <b/>
        <sz val="10"/>
        <color theme="1"/>
        <rFont val="Arial Black"/>
        <family val="2"/>
      </rPr>
      <t>)</t>
    </r>
  </si>
  <si>
    <r>
      <t>–(F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5</t>
    </r>
    <r>
      <rPr>
        <b/>
        <sz val="10"/>
        <color theme="1"/>
        <rFont val="Arial Black"/>
        <family val="2"/>
      </rPr>
      <t>–F</t>
    </r>
    <r>
      <rPr>
        <b/>
        <vertAlign val="subscript"/>
        <sz val="10"/>
        <color theme="1"/>
        <rFont val="Arial Black"/>
        <family val="2"/>
      </rPr>
      <t>5</t>
    </r>
    <r>
      <rPr>
        <b/>
        <sz val="10"/>
        <color theme="1"/>
        <rFont val="Arial Black"/>
        <family val="2"/>
      </rPr>
      <t>)</t>
    </r>
  </si>
  <si>
    <r>
      <t>I</t>
    </r>
    <r>
      <rPr>
        <vertAlign val="subscript"/>
        <sz val="10"/>
        <color theme="1"/>
        <rFont val="Arial Black"/>
        <family val="2"/>
      </rPr>
      <t>0</t>
    </r>
    <r>
      <rPr>
        <sz val="10"/>
        <color theme="1"/>
        <rFont val="Arial Black"/>
        <family val="2"/>
      </rPr>
      <t>–I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0</t>
    </r>
  </si>
  <si>
    <r>
      <t>I</t>
    </r>
    <r>
      <rPr>
        <vertAlign val="subscript"/>
        <sz val="10"/>
        <color theme="1"/>
        <rFont val="Arial Black"/>
        <family val="2"/>
      </rPr>
      <t>1</t>
    </r>
    <r>
      <rPr>
        <sz val="10"/>
        <color theme="1"/>
        <rFont val="Arial Black"/>
        <family val="2"/>
      </rPr>
      <t>–I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1</t>
    </r>
  </si>
  <si>
    <r>
      <t>I</t>
    </r>
    <r>
      <rPr>
        <vertAlign val="subscript"/>
        <sz val="10"/>
        <color theme="1"/>
        <rFont val="Arial Black"/>
        <family val="2"/>
      </rPr>
      <t>2</t>
    </r>
    <r>
      <rPr>
        <sz val="10"/>
        <color theme="1"/>
        <rFont val="Arial Black"/>
        <family val="2"/>
      </rPr>
      <t>–I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2</t>
    </r>
  </si>
  <si>
    <r>
      <t>I</t>
    </r>
    <r>
      <rPr>
        <vertAlign val="subscript"/>
        <sz val="10"/>
        <color theme="1"/>
        <rFont val="Arial Black"/>
        <family val="2"/>
      </rPr>
      <t>3</t>
    </r>
    <r>
      <rPr>
        <sz val="10"/>
        <color theme="1"/>
        <rFont val="Arial Black"/>
        <family val="2"/>
      </rPr>
      <t>–I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3</t>
    </r>
  </si>
  <si>
    <r>
      <t>I</t>
    </r>
    <r>
      <rPr>
        <vertAlign val="subscript"/>
        <sz val="10"/>
        <color theme="1"/>
        <rFont val="Arial Black"/>
        <family val="2"/>
      </rPr>
      <t>4</t>
    </r>
    <r>
      <rPr>
        <sz val="10"/>
        <color theme="1"/>
        <rFont val="Arial Black"/>
        <family val="2"/>
      </rPr>
      <t>–I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4</t>
    </r>
  </si>
  <si>
    <r>
      <t>I</t>
    </r>
    <r>
      <rPr>
        <vertAlign val="subscript"/>
        <sz val="10"/>
        <color theme="1"/>
        <rFont val="Arial Black"/>
        <family val="2"/>
      </rPr>
      <t>5</t>
    </r>
    <r>
      <rPr>
        <sz val="10"/>
        <color theme="1"/>
        <rFont val="Arial Black"/>
        <family val="2"/>
      </rPr>
      <t>–I</t>
    </r>
    <r>
      <rPr>
        <b/>
        <vertAlign val="superscript"/>
        <sz val="10"/>
        <color theme="1"/>
        <rFont val="Arial Black"/>
        <family val="2"/>
      </rPr>
      <t>V</t>
    </r>
    <r>
      <rPr>
        <b/>
        <vertAlign val="subscript"/>
        <sz val="10"/>
        <color theme="1"/>
        <rFont val="Arial Black"/>
        <family val="2"/>
      </rPr>
      <t>5</t>
    </r>
  </si>
  <si>
    <t>Unit Cost of Labor</t>
  </si>
  <si>
    <t>Market data</t>
  </si>
  <si>
    <r>
      <t>C</t>
    </r>
    <r>
      <rPr>
        <b/>
        <vertAlign val="subscript"/>
        <sz val="10"/>
        <color theme="1"/>
        <rFont val="Arial"/>
        <family val="2"/>
      </rPr>
      <t>0</t>
    </r>
  </si>
  <si>
    <r>
      <t>C</t>
    </r>
    <r>
      <rPr>
        <b/>
        <vertAlign val="subscript"/>
        <sz val="10"/>
        <color theme="1"/>
        <rFont val="Arial"/>
        <family val="2"/>
      </rPr>
      <t>1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</si>
  <si>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theme="1"/>
        <rFont val="Arial"/>
        <family val="2"/>
      </rPr>
      <t>2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</si>
  <si>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theme="1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</si>
  <si>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theme="1"/>
        <rFont val="Arial"/>
        <family val="2"/>
      </rPr>
      <t>4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</si>
  <si>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theme="1"/>
        <rFont val="Arial"/>
        <family val="2"/>
      </rPr>
      <t>5</t>
    </r>
    <r>
      <rPr>
        <sz val="11"/>
        <color theme="1"/>
        <rFont val="Calibri"/>
        <family val="2"/>
        <scheme val="minor"/>
      </rPr>
      <t/>
    </r>
  </si>
  <si>
    <r>
      <rPr>
        <sz val="10"/>
        <rFont val="Cambria"/>
        <family val="1"/>
      </rPr>
      <t xml:space="preserve"> – COP</t>
    </r>
    <r>
      <rPr>
        <i/>
        <vertAlign val="superscript"/>
        <sz val="10"/>
        <rFont val="Cambria"/>
        <family val="1"/>
      </rPr>
      <t>m</t>
    </r>
  </si>
  <si>
    <r>
      <rPr>
        <sz val="10"/>
        <rFont val="Cambria"/>
        <family val="1"/>
      </rPr>
      <t xml:space="preserve"> – COP</t>
    </r>
    <r>
      <rPr>
        <i/>
        <vertAlign val="superscript"/>
        <sz val="10"/>
        <rFont val="Cambria"/>
        <family val="1"/>
      </rPr>
      <t>nm</t>
    </r>
  </si>
  <si>
    <r>
      <rPr>
        <sz val="10"/>
        <rFont val="Cambria"/>
        <family val="1"/>
      </rPr>
      <t xml:space="preserve"> – LC</t>
    </r>
    <r>
      <rPr>
        <i/>
        <vertAlign val="superscript"/>
        <sz val="10"/>
        <rFont val="Cambria"/>
        <family val="1"/>
      </rPr>
      <t>m</t>
    </r>
  </si>
  <si>
    <r>
      <rPr>
        <sz val="10"/>
        <rFont val="Cambria"/>
        <family val="1"/>
      </rPr>
      <t xml:space="preserve"> – LC</t>
    </r>
    <r>
      <rPr>
        <i/>
        <vertAlign val="superscript"/>
        <sz val="10"/>
        <rFont val="Cambria"/>
        <family val="1"/>
      </rPr>
      <t>nm</t>
    </r>
  </si>
  <si>
    <r>
      <t xml:space="preserve"> – AP</t>
    </r>
    <r>
      <rPr>
        <i/>
        <vertAlign val="superscript"/>
        <sz val="10"/>
        <color theme="1" tint="0.499984740745262"/>
        <rFont val="Cambria"/>
        <family val="1"/>
      </rPr>
      <t>m</t>
    </r>
  </si>
  <si>
    <r>
      <t xml:space="preserve"> – AP</t>
    </r>
    <r>
      <rPr>
        <i/>
        <vertAlign val="superscript"/>
        <sz val="10"/>
        <color theme="1" tint="0.499984740745262"/>
        <rFont val="Cambria"/>
        <family val="1"/>
      </rPr>
      <t>nm</t>
    </r>
  </si>
  <si>
    <r>
      <t xml:space="preserve"> – SWP</t>
    </r>
    <r>
      <rPr>
        <i/>
        <vertAlign val="superscript"/>
        <sz val="10"/>
        <color theme="1" tint="0.499984740745262"/>
        <rFont val="Cambria"/>
        <family val="1"/>
      </rPr>
      <t>m</t>
    </r>
  </si>
  <si>
    <r>
      <t xml:space="preserve"> – SWP</t>
    </r>
    <r>
      <rPr>
        <i/>
        <vertAlign val="superscript"/>
        <sz val="10"/>
        <color theme="1" tint="0.499984740745262"/>
        <rFont val="Cambria"/>
        <family val="1"/>
      </rPr>
      <t>nm</t>
    </r>
  </si>
  <si>
    <r>
      <t xml:space="preserve"> – COP</t>
    </r>
    <r>
      <rPr>
        <i/>
        <vertAlign val="superscript"/>
        <sz val="10"/>
        <color theme="1" tint="0.499984740745262"/>
        <rFont val="Cambria"/>
        <family val="1"/>
      </rPr>
      <t>m</t>
    </r>
  </si>
  <si>
    <r>
      <t xml:space="preserve"> – LC</t>
    </r>
    <r>
      <rPr>
        <i/>
        <vertAlign val="superscript"/>
        <sz val="10"/>
        <color theme="1" tint="0.499984740745262"/>
        <rFont val="Cambria"/>
        <family val="1"/>
      </rPr>
      <t>m</t>
    </r>
  </si>
  <si>
    <r>
      <t xml:space="preserve"> – COP</t>
    </r>
    <r>
      <rPr>
        <i/>
        <vertAlign val="superscript"/>
        <sz val="10"/>
        <color theme="1" tint="0.499984740745262"/>
        <rFont val="Cambria"/>
        <family val="1"/>
      </rPr>
      <t>nm</t>
    </r>
  </si>
  <si>
    <r>
      <t xml:space="preserve"> – LC</t>
    </r>
    <r>
      <rPr>
        <i/>
        <vertAlign val="superscript"/>
        <sz val="10"/>
        <color theme="1" tint="0.499984740745262"/>
        <rFont val="Cambria"/>
        <family val="1"/>
      </rPr>
      <t>nm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</si>
  <si>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I</t>
    </r>
    <r>
      <rPr>
        <i/>
        <vertAlign val="superscript"/>
        <sz val="8"/>
        <color theme="1" tint="0.499984740745262"/>
        <rFont val="Cambria"/>
        <family val="1"/>
      </rPr>
      <t>d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</si>
  <si>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I</t>
    </r>
    <r>
      <rPr>
        <i/>
        <vertAlign val="superscript"/>
        <sz val="8"/>
        <color theme="1" tint="0.499984740745262"/>
        <rFont val="Cambria"/>
        <family val="1"/>
      </rPr>
      <t>l</t>
    </r>
  </si>
  <si>
    <r>
      <rPr>
        <b/>
        <sz val="10"/>
        <color theme="1" tint="0.499984740745262"/>
        <rFont val="Cambria"/>
        <family val="1"/>
      </rPr>
      <t xml:space="preserve"> + </t>
    </r>
    <r>
      <rPr>
        <b/>
        <i/>
        <sz val="10"/>
        <color theme="1" tint="0.499984740745262"/>
        <rFont val="Cambria"/>
        <family val="1"/>
      </rPr>
      <t>I</t>
    </r>
    <r>
      <rPr>
        <b/>
        <i/>
        <vertAlign val="superscript"/>
        <sz val="10"/>
        <color theme="1" tint="0.499984740745262"/>
        <rFont val="Cambria"/>
        <family val="1"/>
      </rPr>
      <t>e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</si>
  <si>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I</t>
    </r>
    <r>
      <rPr>
        <i/>
        <vertAlign val="superscript"/>
        <sz val="8"/>
        <rFont val="Cambria"/>
        <family val="1"/>
      </rPr>
      <t>d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</si>
  <si>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C</t>
    </r>
    <r>
      <rPr>
        <i/>
        <vertAlign val="superscript"/>
        <sz val="10"/>
        <color theme="1" tint="0.499984740745262"/>
        <rFont val="Cambria"/>
        <family val="1"/>
      </rPr>
      <t>o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</si>
  <si>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C</t>
    </r>
    <r>
      <rPr>
        <i/>
        <vertAlign val="superscript"/>
        <sz val="10"/>
        <color theme="1" tint="0.499984740745262"/>
        <rFont val="Cambria"/>
        <family val="1"/>
      </rPr>
      <t>l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</si>
  <si>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C</t>
    </r>
    <r>
      <rPr>
        <i/>
        <vertAlign val="superscript"/>
        <sz val="10"/>
        <color theme="1" tint="0.499984740745262"/>
        <rFont val="Cambria"/>
        <family val="1"/>
      </rPr>
      <t>d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</si>
  <si>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C</t>
    </r>
    <r>
      <rPr>
        <i/>
        <vertAlign val="superscript"/>
        <sz val="10"/>
        <color theme="1" tint="0.499984740745262"/>
        <rFont val="Cambria"/>
        <family val="1"/>
      </rPr>
      <t>e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</si>
  <si>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I</t>
    </r>
    <r>
      <rPr>
        <i/>
        <vertAlign val="superscript"/>
        <sz val="10"/>
        <color theme="1" tint="0.499984740745262"/>
        <rFont val="Cambria"/>
        <family val="1"/>
      </rPr>
      <t>o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</si>
  <si>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I</t>
    </r>
    <r>
      <rPr>
        <i/>
        <vertAlign val="superscript"/>
        <sz val="10"/>
        <color theme="1" tint="0.499984740745262"/>
        <rFont val="Cambria"/>
        <family val="1"/>
      </rPr>
      <t>l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</si>
  <si>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I</t>
    </r>
    <r>
      <rPr>
        <i/>
        <vertAlign val="superscript"/>
        <sz val="10"/>
        <color theme="1" tint="0.499984740745262"/>
        <rFont val="Cambria"/>
        <family val="1"/>
      </rPr>
      <t>d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</si>
  <si>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I</t>
    </r>
    <r>
      <rPr>
        <i/>
        <vertAlign val="superscript"/>
        <sz val="10"/>
        <color theme="1" tint="0.499984740745262"/>
        <rFont val="Cambria"/>
        <family val="1"/>
      </rPr>
      <t>e</t>
    </r>
  </si>
  <si>
    <r>
      <rPr>
        <sz val="10"/>
        <color theme="1" tint="0.499984740745262"/>
        <rFont val="Cambria"/>
        <family val="1"/>
      </rPr>
      <t xml:space="preserve"> –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o</t>
    </r>
  </si>
  <si>
    <r>
      <rPr>
        <sz val="10"/>
        <color theme="1" tint="0.499984740745262"/>
        <rFont val="Cambria"/>
        <family val="1"/>
      </rPr>
      <t xml:space="preserve"> –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d</t>
    </r>
  </si>
  <si>
    <r>
      <rPr>
        <sz val="10"/>
        <color theme="1" tint="0.499984740745262"/>
        <rFont val="Cambria"/>
        <family val="1"/>
      </rPr>
      <t xml:space="preserve"> –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e</t>
    </r>
  </si>
  <si>
    <r>
      <rPr>
        <sz val="10"/>
        <color theme="1" tint="0.499984740745262"/>
        <rFont val="Cambria"/>
        <family val="1"/>
      </rPr>
      <t xml:space="preserve"> –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l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</si>
  <si>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o</t>
    </r>
  </si>
  <si>
    <r>
      <t>I</t>
    </r>
    <r>
      <rPr>
        <b/>
        <vertAlign val="subscript"/>
        <sz val="10"/>
        <color theme="1"/>
        <rFont val="Arial Black"/>
        <family val="2"/>
      </rPr>
      <t>0</t>
    </r>
  </si>
  <si>
    <r>
      <t>I</t>
    </r>
    <r>
      <rPr>
        <b/>
        <vertAlign val="subscript"/>
        <sz val="10"/>
        <color theme="1"/>
        <rFont val="Arial Black"/>
        <family val="2"/>
      </rPr>
      <t>1</t>
    </r>
  </si>
  <si>
    <r>
      <t>I</t>
    </r>
    <r>
      <rPr>
        <b/>
        <vertAlign val="subscript"/>
        <sz val="10"/>
        <color theme="1"/>
        <rFont val="Arial Black"/>
        <family val="2"/>
      </rPr>
      <t>2</t>
    </r>
  </si>
  <si>
    <r>
      <t>I</t>
    </r>
    <r>
      <rPr>
        <b/>
        <vertAlign val="subscript"/>
        <sz val="10"/>
        <color theme="1"/>
        <rFont val="Arial Black"/>
        <family val="2"/>
      </rPr>
      <t>3</t>
    </r>
  </si>
  <si>
    <r>
      <t>I</t>
    </r>
    <r>
      <rPr>
        <b/>
        <vertAlign val="subscript"/>
        <sz val="10"/>
        <color theme="1"/>
        <rFont val="Arial Black"/>
        <family val="2"/>
      </rPr>
      <t>4</t>
    </r>
  </si>
  <si>
    <r>
      <t>I</t>
    </r>
    <r>
      <rPr>
        <b/>
        <vertAlign val="subscript"/>
        <sz val="10"/>
        <color theme="1"/>
        <rFont val="Arial Black"/>
        <family val="2"/>
      </rPr>
      <t>5</t>
    </r>
  </si>
  <si>
    <t>INPUTS</t>
  </si>
  <si>
    <t>assumptions</t>
  </si>
  <si>
    <r>
      <t>F</t>
    </r>
    <r>
      <rPr>
        <b/>
        <vertAlign val="subscript"/>
        <sz val="10"/>
        <rFont val="Arial"/>
        <family val="2"/>
      </rPr>
      <t>0</t>
    </r>
  </si>
  <si>
    <r>
      <t>F</t>
    </r>
    <r>
      <rPr>
        <b/>
        <vertAlign val="subscript"/>
        <sz val="10"/>
        <rFont val="Arial"/>
        <family val="2"/>
      </rPr>
      <t>1</t>
    </r>
  </si>
  <si>
    <r>
      <t>F</t>
    </r>
    <r>
      <rPr>
        <b/>
        <vertAlign val="subscript"/>
        <sz val="10"/>
        <rFont val="Arial"/>
        <family val="2"/>
      </rPr>
      <t>2</t>
    </r>
  </si>
  <si>
    <r>
      <t>F</t>
    </r>
    <r>
      <rPr>
        <b/>
        <vertAlign val="subscript"/>
        <sz val="10"/>
        <rFont val="Arial"/>
        <family val="2"/>
      </rPr>
      <t>3</t>
    </r>
  </si>
  <si>
    <r>
      <t>F</t>
    </r>
    <r>
      <rPr>
        <b/>
        <vertAlign val="subscript"/>
        <sz val="10"/>
        <rFont val="Arial"/>
        <family val="2"/>
      </rPr>
      <t>4</t>
    </r>
  </si>
  <si>
    <r>
      <t>F</t>
    </r>
    <r>
      <rPr>
        <b/>
        <vertAlign val="subscript"/>
        <sz val="10"/>
        <rFont val="Arial"/>
        <family val="2"/>
      </rPr>
      <t>5</t>
    </r>
  </si>
  <si>
    <r>
      <t>V</t>
    </r>
    <r>
      <rPr>
        <b/>
        <vertAlign val="subscript"/>
        <sz val="10"/>
        <rFont val="Arial Black"/>
        <family val="2"/>
      </rPr>
      <t>3</t>
    </r>
    <r>
      <rPr>
        <b/>
        <sz val="10"/>
        <rFont val="Arial Black"/>
        <family val="2"/>
      </rPr>
      <t>–C</t>
    </r>
    <r>
      <rPr>
        <b/>
        <vertAlign val="subscript"/>
        <sz val="10"/>
        <rFont val="Arial Black"/>
        <family val="2"/>
      </rPr>
      <t>3</t>
    </r>
  </si>
  <si>
    <r>
      <t>i</t>
    </r>
    <r>
      <rPr>
        <i/>
        <vertAlign val="superscript"/>
        <sz val="10"/>
        <rFont val="Cambria"/>
        <family val="1"/>
      </rPr>
      <t>l</t>
    </r>
  </si>
  <si>
    <r>
      <t>i</t>
    </r>
    <r>
      <rPr>
        <i/>
        <vertAlign val="superscript"/>
        <sz val="10"/>
        <rFont val="Cambria"/>
        <family val="1"/>
      </rPr>
      <t>d</t>
    </r>
  </si>
  <si>
    <t xml:space="preserve"> – Payments for income taxes</t>
  </si>
  <si>
    <t xml:space="preserve"> + New borrowing
 – Principal repayments</t>
  </si>
  <si>
    <t>Statement of cash flows (Direct method)</t>
  </si>
  <si>
    <t xml:space="preserve"> (a)</t>
  </si>
  <si>
    <t xml:space="preserve"> (b)</t>
  </si>
  <si>
    <t xml:space="preserve"> (c)</t>
  </si>
  <si>
    <t>(a)+(b)+(c)</t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</si>
  <si>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nfa</t>
    </r>
  </si>
  <si>
    <t xml:space="preserve"> + Asset disposal
 – Capital expenditures</t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</si>
  <si>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ap,m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</si>
  <si>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ap,nm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</si>
  <si>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swp,m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</si>
  <si>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swp,nm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</si>
  <si>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tp</t>
    </r>
  </si>
  <si>
    <t xml:space="preserve"> – Interest expenses</t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</si>
  <si>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ar</t>
    </r>
  </si>
  <si>
    <t xml:space="preserve"> + Issuance of New stock
 – Distributions to equityholders</t>
  </si>
  <si>
    <r>
      <rPr>
        <sz val="10"/>
        <color theme="1" tint="0.499984740745262"/>
        <rFont val="Cambria"/>
        <family val="1"/>
      </rPr>
      <t xml:space="preserve"> –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ar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</si>
  <si>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ap,m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</si>
  <si>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ap,nm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</si>
  <si>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swp,m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</si>
  <si>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swp,nm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</si>
  <si>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tp</t>
    </r>
  </si>
  <si>
    <r>
      <rPr>
        <sz val="10"/>
        <color theme="1" tint="0.499984740745262"/>
        <rFont val="Cambria"/>
        <family val="1"/>
      </rPr>
      <t xml:space="preserve"> –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nfa</t>
    </r>
  </si>
  <si>
    <t>n</t>
  </si>
  <si>
    <t>α</t>
  </si>
  <si>
    <r>
      <t>Change in cash and cash equivalents (</t>
    </r>
    <r>
      <rPr>
        <b/>
        <sz val="10"/>
        <rFont val="Cambria"/>
        <family val="1"/>
      </rPr>
      <t>Δ</t>
    </r>
    <r>
      <rPr>
        <b/>
        <i/>
        <sz val="10"/>
        <rFont val="Cambria"/>
        <family val="1"/>
      </rPr>
      <t>C</t>
    </r>
    <r>
      <rPr>
        <b/>
        <i/>
        <vertAlign val="superscript"/>
        <sz val="10"/>
        <rFont val="Cambria"/>
        <family val="1"/>
      </rPr>
      <t>l</t>
    </r>
    <r>
      <rPr>
        <b/>
        <sz val="10"/>
        <rFont val="Arial"/>
        <family val="2"/>
      </rPr>
      <t>)</t>
    </r>
  </si>
  <si>
    <r>
      <t>C</t>
    </r>
    <r>
      <rPr>
        <b/>
        <vertAlign val="subscript"/>
        <sz val="10"/>
        <color theme="1"/>
        <rFont val="Arial Black"/>
        <family val="2"/>
      </rPr>
      <t>–1</t>
    </r>
  </si>
  <si>
    <r>
      <t xml:space="preserve"> + </t>
    </r>
    <r>
      <rPr>
        <i/>
        <sz val="10"/>
        <color theme="1" tint="0.499984740745262"/>
        <rFont val="Cambria"/>
        <family val="1"/>
      </rPr>
      <t>I</t>
    </r>
    <r>
      <rPr>
        <i/>
        <vertAlign val="superscript"/>
        <sz val="10"/>
        <color theme="1" tint="0.499984740745262"/>
        <rFont val="Cambria"/>
        <family val="1"/>
      </rPr>
      <t>l</t>
    </r>
  </si>
  <si>
    <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l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</si>
  <si>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V</t>
    </r>
    <r>
      <rPr>
        <i/>
        <vertAlign val="superscript"/>
        <sz val="10"/>
        <rFont val="Cambria"/>
        <family val="1"/>
      </rPr>
      <t>o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</si>
  <si>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V</t>
    </r>
    <r>
      <rPr>
        <i/>
        <vertAlign val="superscript"/>
        <sz val="10"/>
        <rFont val="Cambria"/>
        <family val="1"/>
      </rPr>
      <t>l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</si>
  <si>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V</t>
    </r>
    <r>
      <rPr>
        <i/>
        <vertAlign val="superscript"/>
        <sz val="10"/>
        <rFont val="Cambria"/>
        <family val="1"/>
      </rPr>
      <t>d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</si>
  <si>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V</t>
    </r>
    <r>
      <rPr>
        <i/>
        <vertAlign val="superscript"/>
        <sz val="10"/>
        <rFont val="Cambria"/>
        <family val="1"/>
      </rPr>
      <t>e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</si>
  <si>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V</t>
    </r>
    <r>
      <rPr>
        <vertAlign val="superscript"/>
        <sz val="10"/>
        <rFont val="Cambria"/>
        <family val="1"/>
      </rPr>
      <t>inv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</si>
  <si>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V</t>
    </r>
    <r>
      <rPr>
        <vertAlign val="superscript"/>
        <sz val="10"/>
        <rFont val="Cambria"/>
        <family val="1"/>
      </rPr>
      <t>fin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</si>
  <si>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l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</si>
  <si>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d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</si>
  <si>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e</t>
    </r>
  </si>
  <si>
    <t>$ / y</t>
  </si>
  <si>
    <t>% / y</t>
  </si>
  <si>
    <t>Tax Rate</t>
  </si>
  <si>
    <t>Loan amount</t>
  </si>
  <si>
    <t>Payout ratio (% Net Income)</t>
  </si>
  <si>
    <t>Project length</t>
  </si>
  <si>
    <t>Investment</t>
  </si>
  <si>
    <r>
      <rPr>
        <b/>
        <sz val="10"/>
        <rFont val="Cambria"/>
        <family val="1"/>
      </rPr>
      <t xml:space="preserve"> + </t>
    </r>
    <r>
      <rPr>
        <b/>
        <i/>
        <sz val="10"/>
        <rFont val="Cambria"/>
        <family val="1"/>
      </rPr>
      <t>C</t>
    </r>
    <r>
      <rPr>
        <b/>
        <vertAlign val="superscript"/>
        <sz val="10"/>
        <rFont val="Cambria"/>
        <family val="1"/>
      </rPr>
      <t>inv</t>
    </r>
  </si>
  <si>
    <r>
      <t xml:space="preserve"> + </t>
    </r>
    <r>
      <rPr>
        <b/>
        <i/>
        <sz val="10"/>
        <rFont val="Cambria"/>
        <family val="1"/>
      </rPr>
      <t>C</t>
    </r>
    <r>
      <rPr>
        <b/>
        <vertAlign val="superscript"/>
        <sz val="10"/>
        <rFont val="Cambria"/>
        <family val="1"/>
      </rPr>
      <t>fin</t>
    </r>
  </si>
  <si>
    <r>
      <t>I</t>
    </r>
    <r>
      <rPr>
        <b/>
        <vertAlign val="subscript"/>
        <sz val="10"/>
        <rFont val="Arial"/>
        <family val="2"/>
      </rPr>
      <t>0</t>
    </r>
  </si>
  <si>
    <r>
      <t>I</t>
    </r>
    <r>
      <rPr>
        <b/>
        <vertAlign val="subscript"/>
        <sz val="10"/>
        <rFont val="Arial"/>
        <family val="2"/>
      </rPr>
      <t>1</t>
    </r>
  </si>
  <si>
    <r>
      <t>I</t>
    </r>
    <r>
      <rPr>
        <b/>
        <vertAlign val="subscript"/>
        <sz val="10"/>
        <rFont val="Arial"/>
        <family val="2"/>
      </rPr>
      <t>2</t>
    </r>
  </si>
  <si>
    <r>
      <t>I</t>
    </r>
    <r>
      <rPr>
        <b/>
        <vertAlign val="subscript"/>
        <sz val="10"/>
        <rFont val="Arial"/>
        <family val="2"/>
      </rPr>
      <t>3</t>
    </r>
  </si>
  <si>
    <r>
      <t>I</t>
    </r>
    <r>
      <rPr>
        <b/>
        <vertAlign val="subscript"/>
        <sz val="10"/>
        <rFont val="Arial"/>
        <family val="2"/>
      </rPr>
      <t>4</t>
    </r>
  </si>
  <si>
    <r>
      <t>I</t>
    </r>
    <r>
      <rPr>
        <b/>
        <vertAlign val="subscript"/>
        <sz val="10"/>
        <rFont val="Arial"/>
        <family val="2"/>
      </rPr>
      <t>5</t>
    </r>
  </si>
  <si>
    <r>
      <rPr>
        <b/>
        <sz val="10"/>
        <rFont val="Cambria"/>
        <family val="1"/>
      </rPr>
      <t xml:space="preserve"> + </t>
    </r>
    <r>
      <rPr>
        <b/>
        <i/>
        <sz val="10"/>
        <rFont val="Cambria"/>
        <family val="1"/>
      </rPr>
      <t>I</t>
    </r>
    <r>
      <rPr>
        <b/>
        <vertAlign val="superscript"/>
        <sz val="10"/>
        <rFont val="Cambria"/>
        <family val="1"/>
      </rPr>
      <t>inv</t>
    </r>
  </si>
  <si>
    <r>
      <t xml:space="preserve"> + </t>
    </r>
    <r>
      <rPr>
        <b/>
        <i/>
        <sz val="10"/>
        <rFont val="Cambria"/>
        <family val="1"/>
      </rPr>
      <t>I</t>
    </r>
    <r>
      <rPr>
        <b/>
        <vertAlign val="superscript"/>
        <sz val="10"/>
        <rFont val="Cambria"/>
        <family val="1"/>
      </rPr>
      <t>fin</t>
    </r>
  </si>
  <si>
    <r>
      <rPr>
        <b/>
        <sz val="10"/>
        <rFont val="Cambria"/>
        <family val="1"/>
      </rPr>
      <t xml:space="preserve"> + </t>
    </r>
    <r>
      <rPr>
        <b/>
        <i/>
        <sz val="10"/>
        <rFont val="Cambria"/>
        <family val="1"/>
      </rPr>
      <t>F</t>
    </r>
    <r>
      <rPr>
        <b/>
        <vertAlign val="superscript"/>
        <sz val="10"/>
        <rFont val="Cambria"/>
        <family val="1"/>
      </rPr>
      <t>inv</t>
    </r>
  </si>
  <si>
    <r>
      <t xml:space="preserve"> + </t>
    </r>
    <r>
      <rPr>
        <b/>
        <i/>
        <sz val="10"/>
        <rFont val="Cambria"/>
        <family val="1"/>
      </rPr>
      <t>F</t>
    </r>
    <r>
      <rPr>
        <b/>
        <vertAlign val="superscript"/>
        <sz val="10"/>
        <rFont val="Cambria"/>
        <family val="1"/>
      </rPr>
      <t>fin</t>
    </r>
  </si>
  <si>
    <r>
      <rPr>
        <b/>
        <sz val="10"/>
        <rFont val="Cambria"/>
        <family val="1"/>
      </rPr>
      <t xml:space="preserve"> + </t>
    </r>
    <r>
      <rPr>
        <b/>
        <i/>
        <sz val="10"/>
        <rFont val="Cambria"/>
        <family val="1"/>
      </rPr>
      <t>C</t>
    </r>
    <r>
      <rPr>
        <b/>
        <vertAlign val="superscript"/>
        <sz val="10"/>
        <rFont val="Cambria"/>
        <family val="1"/>
      </rPr>
      <t>fin</t>
    </r>
  </si>
  <si>
    <r>
      <rPr>
        <b/>
        <sz val="10"/>
        <rFont val="Cambria"/>
        <family val="1"/>
      </rPr>
      <t xml:space="preserve"> + </t>
    </r>
    <r>
      <rPr>
        <b/>
        <i/>
        <sz val="10"/>
        <rFont val="Cambria"/>
        <family val="1"/>
      </rPr>
      <t>C</t>
    </r>
    <r>
      <rPr>
        <b/>
        <i/>
        <vertAlign val="superscript"/>
        <sz val="10"/>
        <rFont val="Cambria"/>
        <family val="1"/>
      </rPr>
      <t>l</t>
    </r>
  </si>
  <si>
    <r>
      <rPr>
        <b/>
        <sz val="10"/>
        <rFont val="Cambria"/>
        <family val="1"/>
      </rPr>
      <t xml:space="preserve"> + </t>
    </r>
    <r>
      <rPr>
        <b/>
        <i/>
        <sz val="10"/>
        <rFont val="Cambria"/>
        <family val="1"/>
      </rPr>
      <t>C</t>
    </r>
    <r>
      <rPr>
        <b/>
        <i/>
        <vertAlign val="superscript"/>
        <sz val="10"/>
        <rFont val="Cambria"/>
        <family val="1"/>
      </rPr>
      <t>d</t>
    </r>
  </si>
  <si>
    <r>
      <rPr>
        <b/>
        <sz val="10"/>
        <rFont val="Cambria"/>
        <family val="1"/>
      </rPr>
      <t xml:space="preserve"> + </t>
    </r>
    <r>
      <rPr>
        <b/>
        <i/>
        <sz val="10"/>
        <rFont val="Cambria"/>
        <family val="1"/>
      </rPr>
      <t>C</t>
    </r>
    <r>
      <rPr>
        <b/>
        <i/>
        <vertAlign val="superscript"/>
        <sz val="10"/>
        <rFont val="Cambria"/>
        <family val="1"/>
      </rPr>
      <t>e</t>
    </r>
  </si>
  <si>
    <r>
      <rPr>
        <b/>
        <sz val="10"/>
        <rFont val="Cambria"/>
        <family val="1"/>
      </rPr>
      <t xml:space="preserve"> + </t>
    </r>
    <r>
      <rPr>
        <b/>
        <i/>
        <sz val="10"/>
        <rFont val="Cambria"/>
        <family val="1"/>
      </rPr>
      <t>C</t>
    </r>
    <r>
      <rPr>
        <b/>
        <i/>
        <vertAlign val="superscript"/>
        <sz val="10"/>
        <rFont val="Cambria"/>
        <family val="1"/>
      </rPr>
      <t>o</t>
    </r>
  </si>
  <si>
    <r>
      <t xml:space="preserve"> + Δ</t>
    </r>
    <r>
      <rPr>
        <i/>
        <sz val="10"/>
        <rFont val="Cambria"/>
        <family val="1"/>
      </rPr>
      <t>C</t>
    </r>
    <r>
      <rPr>
        <i/>
        <vertAlign val="superscript"/>
        <sz val="10"/>
        <rFont val="Cambria"/>
        <family val="1"/>
      </rPr>
      <t>d</t>
    </r>
  </si>
  <si>
    <r>
      <t xml:space="preserve"> + </t>
    </r>
    <r>
      <rPr>
        <i/>
        <sz val="8"/>
        <color theme="1" tint="0.499984740745262"/>
        <rFont val="Cambria"/>
        <family val="1"/>
      </rPr>
      <t>C</t>
    </r>
    <r>
      <rPr>
        <i/>
        <vertAlign val="superscript"/>
        <sz val="8"/>
        <color theme="1" tint="0.499984740745262"/>
        <rFont val="Cambria"/>
        <family val="1"/>
      </rPr>
      <t>d</t>
    </r>
  </si>
  <si>
    <r>
      <rPr>
        <b/>
        <sz val="8"/>
        <color theme="1" tint="0.499984740745262"/>
        <rFont val="Cambria"/>
        <family val="1"/>
      </rPr>
      <t xml:space="preserve"> + </t>
    </r>
    <r>
      <rPr>
        <b/>
        <i/>
        <sz val="8"/>
        <color theme="1" tint="0.499984740745262"/>
        <rFont val="Cambria"/>
        <family val="1"/>
      </rPr>
      <t>C</t>
    </r>
    <r>
      <rPr>
        <b/>
        <i/>
        <vertAlign val="superscript"/>
        <sz val="8"/>
        <color theme="1" tint="0.499984740745262"/>
        <rFont val="Cambria"/>
        <family val="1"/>
      </rPr>
      <t>d</t>
    </r>
  </si>
  <si>
    <r>
      <rPr>
        <b/>
        <sz val="10"/>
        <color theme="1" tint="0.499984740745262"/>
        <rFont val="Cambria"/>
        <family val="1"/>
      </rPr>
      <t xml:space="preserve"> + </t>
    </r>
    <r>
      <rPr>
        <b/>
        <i/>
        <sz val="10"/>
        <color theme="1" tint="0.499984740745262"/>
        <rFont val="Cambria"/>
        <family val="1"/>
      </rPr>
      <t>C</t>
    </r>
    <r>
      <rPr>
        <b/>
        <i/>
        <vertAlign val="superscript"/>
        <sz val="10"/>
        <color theme="1" tint="0.499984740745262"/>
        <rFont val="Cambria"/>
        <family val="1"/>
      </rPr>
      <t>d</t>
    </r>
  </si>
  <si>
    <r>
      <rPr>
        <b/>
        <sz val="10"/>
        <color theme="1" tint="0.499984740745262"/>
        <rFont val="Cambria"/>
        <family val="1"/>
      </rPr>
      <t xml:space="preserve"> + </t>
    </r>
    <r>
      <rPr>
        <b/>
        <i/>
        <sz val="10"/>
        <color theme="1" tint="0.499984740745262"/>
        <rFont val="Cambria"/>
        <family val="1"/>
      </rPr>
      <t>C</t>
    </r>
    <r>
      <rPr>
        <b/>
        <i/>
        <vertAlign val="superscript"/>
        <sz val="10"/>
        <color theme="1" tint="0.499984740745262"/>
        <rFont val="Cambria"/>
        <family val="1"/>
      </rPr>
      <t>e</t>
    </r>
  </si>
  <si>
    <r>
      <rPr>
        <b/>
        <sz val="10"/>
        <color theme="1" tint="0.499984740745262"/>
        <rFont val="Cambria"/>
        <family val="1"/>
      </rPr>
      <t xml:space="preserve"> + </t>
    </r>
    <r>
      <rPr>
        <b/>
        <i/>
        <sz val="10"/>
        <color theme="1" tint="0.499984740745262"/>
        <rFont val="Cambria"/>
        <family val="1"/>
      </rPr>
      <t>C</t>
    </r>
    <r>
      <rPr>
        <b/>
        <i/>
        <vertAlign val="superscript"/>
        <sz val="10"/>
        <color theme="1" tint="0.499984740745262"/>
        <rFont val="Cambria"/>
        <family val="1"/>
      </rPr>
      <t>l</t>
    </r>
  </si>
  <si>
    <r>
      <t>V</t>
    </r>
    <r>
      <rPr>
        <b/>
        <vertAlign val="subscript"/>
        <sz val="10"/>
        <rFont val="Arial Black"/>
        <family val="2"/>
      </rPr>
      <t>–1</t>
    </r>
    <r>
      <rPr>
        <b/>
        <sz val="10"/>
        <rFont val="Arial Black"/>
        <family val="2"/>
      </rPr>
      <t>–C</t>
    </r>
    <r>
      <rPr>
        <b/>
        <vertAlign val="subscript"/>
        <sz val="10"/>
        <rFont val="Arial Black"/>
        <family val="2"/>
      </rPr>
      <t>–1</t>
    </r>
  </si>
  <si>
    <r>
      <t>I</t>
    </r>
    <r>
      <rPr>
        <b/>
        <vertAlign val="superscript"/>
        <sz val="10"/>
        <rFont val="Arial Black"/>
        <family val="2"/>
      </rPr>
      <t>V</t>
    </r>
  </si>
  <si>
    <r>
      <t>–F</t>
    </r>
    <r>
      <rPr>
        <b/>
        <vertAlign val="superscript"/>
        <sz val="10"/>
        <rFont val="Arial Black"/>
        <family val="2"/>
      </rPr>
      <t>V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</si>
  <si>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Vo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</si>
  <si>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Vo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</si>
  <si>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Vl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</si>
  <si>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Vl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</si>
  <si>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Vd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</si>
  <si>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Vd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</si>
  <si>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Ve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</si>
  <si>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Ve</t>
    </r>
  </si>
  <si>
    <r>
      <t>V</t>
    </r>
    <r>
      <rPr>
        <b/>
        <vertAlign val="subscript"/>
        <sz val="10"/>
        <rFont val="Arial Black"/>
        <family val="2"/>
      </rPr>
      <t>–1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</si>
  <si>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0</t>
    </r>
  </si>
  <si>
    <r>
      <t>–F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0</t>
    </r>
  </si>
  <si>
    <r>
      <t>V</t>
    </r>
    <r>
      <rPr>
        <b/>
        <vertAlign val="subscript"/>
        <sz val="10"/>
        <rFont val="Arial Black"/>
        <family val="2"/>
      </rPr>
      <t>0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</si>
  <si>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1</t>
    </r>
  </si>
  <si>
    <r>
      <t>V</t>
    </r>
    <r>
      <rPr>
        <b/>
        <vertAlign val="subscript"/>
        <sz val="10"/>
        <rFont val="Arial Black"/>
        <family val="2"/>
      </rPr>
      <t>1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</si>
  <si>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2</t>
    </r>
  </si>
  <si>
    <r>
      <t>V</t>
    </r>
    <r>
      <rPr>
        <b/>
        <vertAlign val="subscript"/>
        <sz val="10"/>
        <rFont val="Arial Black"/>
        <family val="2"/>
      </rPr>
      <t>2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</si>
  <si>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3</t>
    </r>
  </si>
  <si>
    <r>
      <t>V</t>
    </r>
    <r>
      <rPr>
        <b/>
        <vertAlign val="subscript"/>
        <sz val="10"/>
        <rFont val="Arial Black"/>
        <family val="2"/>
      </rPr>
      <t>3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</si>
  <si>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4</t>
    </r>
  </si>
  <si>
    <r>
      <t>V</t>
    </r>
    <r>
      <rPr>
        <b/>
        <vertAlign val="subscript"/>
        <sz val="10"/>
        <rFont val="Arial Black"/>
        <family val="2"/>
      </rPr>
      <t>4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</si>
  <si>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5</t>
    </r>
  </si>
  <si>
    <r>
      <t>V</t>
    </r>
    <r>
      <rPr>
        <b/>
        <vertAlign val="subscript"/>
        <sz val="10"/>
        <rFont val="Arial Black"/>
        <family val="2"/>
      </rPr>
      <t>5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</si>
  <si>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V</t>
    </r>
    <r>
      <rPr>
        <vertAlign val="superscript"/>
        <sz val="10"/>
        <rFont val="Cambria"/>
        <family val="1"/>
      </rPr>
      <t>inv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</si>
  <si>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</t>
    </r>
    <r>
      <rPr>
        <vertAlign val="superscript"/>
        <sz val="10"/>
        <rFont val="Cambria"/>
        <family val="1"/>
      </rPr>
      <t>inv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</si>
  <si>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V</t>
    </r>
    <r>
      <rPr>
        <vertAlign val="superscript"/>
        <sz val="10"/>
        <rFont val="Cambria"/>
        <family val="1"/>
      </rPr>
      <t>fin</t>
    </r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</si>
  <si>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</t>
    </r>
    <r>
      <rPr>
        <vertAlign val="superscript"/>
        <sz val="10"/>
        <rFont val="Cambria"/>
        <family val="1"/>
      </rPr>
      <t>fin</t>
    </r>
  </si>
  <si>
    <t>Benchmark: four-area Matrix</t>
  </si>
  <si>
    <t>Benchmark: germ Matrix</t>
  </si>
  <si>
    <r>
      <t>–(F</t>
    </r>
    <r>
      <rPr>
        <i/>
        <vertAlign val="superscript"/>
        <sz val="10"/>
        <rFont val="Cambria"/>
        <family val="1"/>
      </rPr>
      <t>Vo</t>
    </r>
    <r>
      <rPr>
        <i/>
        <sz val="10"/>
        <rFont val="Cambria"/>
        <family val="1"/>
      </rPr>
      <t>–F</t>
    </r>
    <r>
      <rPr>
        <i/>
        <vertAlign val="superscript"/>
        <sz val="10"/>
        <rFont val="Cambria"/>
        <family val="1"/>
      </rPr>
      <t>o</t>
    </r>
    <r>
      <rPr>
        <i/>
        <sz val="10"/>
        <rFont val="Cambria"/>
        <family val="1"/>
      </rPr>
      <t>)</t>
    </r>
  </si>
  <si>
    <r>
      <t>MVA</t>
    </r>
    <r>
      <rPr>
        <i/>
        <vertAlign val="superscript"/>
        <sz val="10"/>
        <rFont val="Cambria"/>
        <family val="1"/>
      </rPr>
      <t>o</t>
    </r>
  </si>
  <si>
    <r>
      <t>MVA</t>
    </r>
    <r>
      <rPr>
        <i/>
        <vertAlign val="superscript"/>
        <sz val="10"/>
        <rFont val="Cambria"/>
        <family val="1"/>
      </rPr>
      <t>l</t>
    </r>
  </si>
  <si>
    <r>
      <t>MVA</t>
    </r>
    <r>
      <rPr>
        <i/>
        <vertAlign val="superscript"/>
        <sz val="10"/>
        <rFont val="Cambria"/>
        <family val="1"/>
      </rPr>
      <t>d</t>
    </r>
  </si>
  <si>
    <r>
      <t>MVA</t>
    </r>
    <r>
      <rPr>
        <i/>
        <vertAlign val="superscript"/>
        <sz val="10"/>
        <rFont val="Cambria"/>
        <family val="1"/>
      </rPr>
      <t>e</t>
    </r>
  </si>
  <si>
    <r>
      <t>–(F</t>
    </r>
    <r>
      <rPr>
        <i/>
        <vertAlign val="superscript"/>
        <sz val="10"/>
        <rFont val="Cambria"/>
        <family val="1"/>
      </rPr>
      <t>Vl</t>
    </r>
    <r>
      <rPr>
        <i/>
        <sz val="10"/>
        <rFont val="Cambria"/>
        <family val="1"/>
      </rPr>
      <t>–F</t>
    </r>
    <r>
      <rPr>
        <i/>
        <vertAlign val="superscript"/>
        <sz val="10"/>
        <rFont val="Cambria"/>
        <family val="1"/>
      </rPr>
      <t>l</t>
    </r>
    <r>
      <rPr>
        <i/>
        <sz val="10"/>
        <rFont val="Cambria"/>
        <family val="1"/>
      </rPr>
      <t>)</t>
    </r>
  </si>
  <si>
    <r>
      <t>–(F</t>
    </r>
    <r>
      <rPr>
        <i/>
        <vertAlign val="superscript"/>
        <sz val="10"/>
        <rFont val="Cambria"/>
        <family val="1"/>
      </rPr>
      <t>Vd</t>
    </r>
    <r>
      <rPr>
        <i/>
        <sz val="10"/>
        <rFont val="Cambria"/>
        <family val="1"/>
      </rPr>
      <t>–F</t>
    </r>
    <r>
      <rPr>
        <i/>
        <vertAlign val="superscript"/>
        <sz val="10"/>
        <rFont val="Cambria"/>
        <family val="1"/>
      </rPr>
      <t>d</t>
    </r>
    <r>
      <rPr>
        <i/>
        <sz val="10"/>
        <rFont val="Cambria"/>
        <family val="1"/>
      </rPr>
      <t>)</t>
    </r>
  </si>
  <si>
    <r>
      <t>–(F</t>
    </r>
    <r>
      <rPr>
        <i/>
        <vertAlign val="superscript"/>
        <sz val="10"/>
        <rFont val="Cambria"/>
        <family val="1"/>
      </rPr>
      <t>Ve</t>
    </r>
    <r>
      <rPr>
        <i/>
        <sz val="10"/>
        <rFont val="Cambria"/>
        <family val="1"/>
      </rPr>
      <t>–F</t>
    </r>
    <r>
      <rPr>
        <i/>
        <vertAlign val="superscript"/>
        <sz val="10"/>
        <rFont val="Cambria"/>
        <family val="1"/>
      </rPr>
      <t>e</t>
    </r>
    <r>
      <rPr>
        <i/>
        <sz val="10"/>
        <rFont val="Cambria"/>
        <family val="1"/>
      </rPr>
      <t>)</t>
    </r>
  </si>
  <si>
    <r>
      <t>MVA</t>
    </r>
    <r>
      <rPr>
        <vertAlign val="superscript"/>
        <sz val="10"/>
        <rFont val="Cambria"/>
        <family val="1"/>
      </rPr>
      <t>inv</t>
    </r>
  </si>
  <si>
    <r>
      <t>–(F</t>
    </r>
    <r>
      <rPr>
        <i/>
        <vertAlign val="superscript"/>
        <sz val="10"/>
        <rFont val="Cambria"/>
        <family val="1"/>
      </rPr>
      <t>V</t>
    </r>
    <r>
      <rPr>
        <vertAlign val="superscript"/>
        <sz val="10"/>
        <rFont val="Cambria"/>
        <family val="1"/>
      </rPr>
      <t>inv</t>
    </r>
    <r>
      <rPr>
        <i/>
        <sz val="10"/>
        <rFont val="Cambria"/>
        <family val="1"/>
      </rPr>
      <t>–</t>
    </r>
    <r>
      <rPr>
        <sz val="10"/>
        <rFont val="Cambria"/>
        <family val="1"/>
      </rPr>
      <t>F</t>
    </r>
    <r>
      <rPr>
        <vertAlign val="superscript"/>
        <sz val="10"/>
        <rFont val="Cambria"/>
        <family val="1"/>
      </rPr>
      <t>inv</t>
    </r>
    <r>
      <rPr>
        <sz val="10"/>
        <rFont val="Cambria"/>
        <family val="1"/>
      </rPr>
      <t>)</t>
    </r>
  </si>
  <si>
    <r>
      <t>–(F</t>
    </r>
    <r>
      <rPr>
        <i/>
        <vertAlign val="superscript"/>
        <sz val="10"/>
        <rFont val="Cambria"/>
        <family val="1"/>
      </rPr>
      <t>V</t>
    </r>
    <r>
      <rPr>
        <vertAlign val="superscript"/>
        <sz val="10"/>
        <rFont val="Cambria"/>
        <family val="1"/>
      </rPr>
      <t>fin</t>
    </r>
    <r>
      <rPr>
        <i/>
        <sz val="10"/>
        <rFont val="Cambria"/>
        <family val="1"/>
      </rPr>
      <t>–F</t>
    </r>
    <r>
      <rPr>
        <vertAlign val="superscript"/>
        <sz val="10"/>
        <rFont val="Cambria"/>
        <family val="1"/>
      </rPr>
      <t>fin</t>
    </r>
    <r>
      <rPr>
        <i/>
        <sz val="10"/>
        <rFont val="Cambria"/>
        <family val="1"/>
      </rPr>
      <t>)</t>
    </r>
  </si>
  <si>
    <r>
      <t>–F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1</t>
    </r>
  </si>
  <si>
    <r>
      <t>–F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2</t>
    </r>
  </si>
  <si>
    <r>
      <t>–F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3</t>
    </r>
  </si>
  <si>
    <r>
      <t>–F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4</t>
    </r>
  </si>
  <si>
    <r>
      <t>–F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5</t>
    </r>
  </si>
  <si>
    <r>
      <t>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0</t>
    </r>
  </si>
  <si>
    <r>
      <t>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1</t>
    </r>
  </si>
  <si>
    <r>
      <t>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2</t>
    </r>
  </si>
  <si>
    <r>
      <t>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3</t>
    </r>
  </si>
  <si>
    <r>
      <t>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4</t>
    </r>
  </si>
  <si>
    <r>
      <t>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5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</si>
  <si>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Vo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</si>
  <si>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Vl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</si>
  <si>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</t>
    </r>
    <r>
      <rPr>
        <vertAlign val="superscript"/>
        <sz val="10"/>
        <rFont val="Cambria"/>
        <family val="1"/>
      </rPr>
      <t>inv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</si>
  <si>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Vd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</si>
  <si>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Ve</t>
    </r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</si>
  <si>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V</t>
    </r>
    <r>
      <rPr>
        <vertAlign val="superscript"/>
        <sz val="10"/>
        <rFont val="Cambria"/>
        <family val="1"/>
      </rPr>
      <t>fin</t>
    </r>
  </si>
  <si>
    <r>
      <t>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0</t>
    </r>
  </si>
  <si>
    <r>
      <t>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1</t>
    </r>
  </si>
  <si>
    <r>
      <t>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2</t>
    </r>
  </si>
  <si>
    <r>
      <t>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3</t>
    </r>
  </si>
  <si>
    <r>
      <t>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4</t>
    </r>
  </si>
  <si>
    <r>
      <t>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5</t>
    </r>
  </si>
  <si>
    <r>
      <t>V</t>
    </r>
    <r>
      <rPr>
        <b/>
        <vertAlign val="subscript"/>
        <sz val="10"/>
        <rFont val="Arial Black"/>
        <family val="2"/>
      </rPr>
      <t>1</t>
    </r>
    <r>
      <rPr>
        <sz val="10"/>
        <color theme="1"/>
        <rFont val="Arial"/>
        <family val="2"/>
      </rPr>
      <t/>
    </r>
  </si>
  <si>
    <r>
      <t>V</t>
    </r>
    <r>
      <rPr>
        <b/>
        <vertAlign val="subscript"/>
        <sz val="10"/>
        <rFont val="Arial Black"/>
        <family val="2"/>
      </rPr>
      <t>2</t>
    </r>
    <r>
      <rPr>
        <sz val="10"/>
        <color theme="1"/>
        <rFont val="Arial"/>
        <family val="2"/>
      </rPr>
      <t/>
    </r>
  </si>
  <si>
    <r>
      <t>V</t>
    </r>
    <r>
      <rPr>
        <b/>
        <vertAlign val="subscript"/>
        <sz val="10"/>
        <rFont val="Arial Black"/>
        <family val="2"/>
      </rPr>
      <t>3</t>
    </r>
    <r>
      <rPr>
        <sz val="10"/>
        <color theme="1"/>
        <rFont val="Arial"/>
        <family val="2"/>
      </rPr>
      <t/>
    </r>
  </si>
  <si>
    <r>
      <t>V</t>
    </r>
    <r>
      <rPr>
        <b/>
        <vertAlign val="subscript"/>
        <sz val="10"/>
        <rFont val="Arial Black"/>
        <family val="2"/>
      </rPr>
      <t>4</t>
    </r>
    <r>
      <rPr>
        <sz val="10"/>
        <color theme="1"/>
        <rFont val="Arial"/>
        <family val="2"/>
      </rPr>
      <t/>
    </r>
  </si>
  <si>
    <r>
      <t>V</t>
    </r>
    <r>
      <rPr>
        <b/>
        <vertAlign val="subscript"/>
        <sz val="10"/>
        <rFont val="Arial Black"/>
        <family val="2"/>
      </rPr>
      <t>5</t>
    </r>
    <r>
      <rPr>
        <sz val="10"/>
        <color theme="1"/>
        <rFont val="Arial"/>
        <family val="2"/>
      </rPr>
      <t/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</si>
  <si>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V</t>
    </r>
    <r>
      <rPr>
        <i/>
        <vertAlign val="superscript"/>
        <sz val="10"/>
        <color theme="1" tint="0.499984740745262"/>
        <rFont val="Cambria"/>
        <family val="1"/>
      </rPr>
      <t>o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</si>
  <si>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V</t>
    </r>
    <r>
      <rPr>
        <i/>
        <vertAlign val="superscript"/>
        <sz val="10"/>
        <color theme="1" tint="0.499984740745262"/>
        <rFont val="Cambria"/>
        <family val="1"/>
      </rPr>
      <t>l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</si>
  <si>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V</t>
    </r>
    <r>
      <rPr>
        <i/>
        <vertAlign val="superscript"/>
        <sz val="10"/>
        <color theme="1" tint="0.499984740745262"/>
        <rFont val="Cambria"/>
        <family val="1"/>
      </rPr>
      <t>d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</si>
  <si>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V</t>
    </r>
    <r>
      <rPr>
        <i/>
        <vertAlign val="superscript"/>
        <sz val="10"/>
        <color theme="1" tint="0.499984740745262"/>
        <rFont val="Cambria"/>
        <family val="1"/>
      </rPr>
      <t>e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</si>
  <si>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I</t>
    </r>
    <r>
      <rPr>
        <i/>
        <vertAlign val="superscript"/>
        <sz val="10"/>
        <color theme="1" tint="0.499984740745262"/>
        <rFont val="Cambria"/>
        <family val="1"/>
      </rPr>
      <t>Vo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</si>
  <si>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I</t>
    </r>
    <r>
      <rPr>
        <i/>
        <vertAlign val="superscript"/>
        <sz val="10"/>
        <color theme="1" tint="0.499984740745262"/>
        <rFont val="Cambria"/>
        <family val="1"/>
      </rPr>
      <t>Vl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</si>
  <si>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I</t>
    </r>
    <r>
      <rPr>
        <i/>
        <vertAlign val="superscript"/>
        <sz val="10"/>
        <color theme="1" tint="0.499984740745262"/>
        <rFont val="Cambria"/>
        <family val="1"/>
      </rPr>
      <t>Vd</t>
    </r>
  </si>
  <si>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I</t>
    </r>
    <r>
      <rPr>
        <i/>
        <vertAlign val="superscript"/>
        <sz val="10"/>
        <color theme="1" tint="0.499984740745262"/>
        <rFont val="Cambria"/>
        <family val="1"/>
      </rPr>
      <t>Ve</t>
    </r>
  </si>
  <si>
    <r>
      <rPr>
        <sz val="10"/>
        <color theme="1" tint="0.499984740745262"/>
        <rFont val="Cambria"/>
        <family val="1"/>
      </rPr>
      <t xml:space="preserve"> –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Vo</t>
    </r>
  </si>
  <si>
    <r>
      <rPr>
        <sz val="10"/>
        <color theme="1" tint="0.499984740745262"/>
        <rFont val="Cambria"/>
        <family val="1"/>
      </rPr>
      <t xml:space="preserve"> –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Vl</t>
    </r>
  </si>
  <si>
    <r>
      <rPr>
        <sz val="10"/>
        <color theme="1" tint="0.499984740745262"/>
        <rFont val="Cambria"/>
        <family val="1"/>
      </rPr>
      <t xml:space="preserve"> –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Vd</t>
    </r>
  </si>
  <si>
    <r>
      <rPr>
        <sz val="10"/>
        <color theme="1" tint="0.499984740745262"/>
        <rFont val="Cambria"/>
        <family val="1"/>
      </rPr>
      <t xml:space="preserve"> – </t>
    </r>
    <r>
      <rPr>
        <i/>
        <sz val="10"/>
        <color theme="1" tint="0.499984740745262"/>
        <rFont val="Cambria"/>
        <family val="1"/>
      </rPr>
      <t>F</t>
    </r>
    <r>
      <rPr>
        <i/>
        <vertAlign val="superscript"/>
        <sz val="10"/>
        <color theme="1" tint="0.499984740745262"/>
        <rFont val="Cambria"/>
        <family val="1"/>
      </rPr>
      <t>Ve</t>
    </r>
  </si>
  <si>
    <r>
      <t>NPV</t>
    </r>
    <r>
      <rPr>
        <b/>
        <i/>
        <vertAlign val="superscript"/>
        <sz val="10"/>
        <color theme="1"/>
        <rFont val="Cambria"/>
        <family val="1"/>
      </rPr>
      <t>d</t>
    </r>
  </si>
  <si>
    <r>
      <t>NPV</t>
    </r>
    <r>
      <rPr>
        <b/>
        <i/>
        <vertAlign val="superscript"/>
        <sz val="10"/>
        <color theme="1"/>
        <rFont val="Cambria"/>
        <family val="1"/>
      </rPr>
      <t>e</t>
    </r>
  </si>
  <si>
    <r>
      <t>NPV</t>
    </r>
    <r>
      <rPr>
        <b/>
        <vertAlign val="superscript"/>
        <sz val="10"/>
        <color theme="1"/>
        <rFont val="Cambria"/>
        <family val="1"/>
      </rPr>
      <t>fin</t>
    </r>
  </si>
  <si>
    <r>
      <t>NPV</t>
    </r>
    <r>
      <rPr>
        <b/>
        <i/>
        <vertAlign val="superscript"/>
        <sz val="10"/>
        <color theme="1"/>
        <rFont val="Cambria"/>
        <family val="1"/>
      </rPr>
      <t>o</t>
    </r>
  </si>
  <si>
    <r>
      <t>NPV</t>
    </r>
    <r>
      <rPr>
        <b/>
        <i/>
        <vertAlign val="superscript"/>
        <sz val="10"/>
        <color theme="1"/>
        <rFont val="Cambria"/>
        <family val="1"/>
      </rPr>
      <t>l</t>
    </r>
  </si>
  <si>
    <r>
      <t>NPV</t>
    </r>
    <r>
      <rPr>
        <b/>
        <vertAlign val="superscript"/>
        <sz val="10"/>
        <color theme="1"/>
        <rFont val="Cambria"/>
        <family val="1"/>
      </rPr>
      <t>inv</t>
    </r>
  </si>
  <si>
    <r>
      <t>Σ</t>
    </r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o</t>
    </r>
  </si>
  <si>
    <r>
      <t>Σ</t>
    </r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l</t>
    </r>
  </si>
  <si>
    <r>
      <t>Σ</t>
    </r>
    <r>
      <rPr>
        <b/>
        <i/>
        <sz val="10"/>
        <color theme="1"/>
        <rFont val="Cambria"/>
        <family val="1"/>
      </rPr>
      <t>C</t>
    </r>
    <r>
      <rPr>
        <b/>
        <vertAlign val="superscript"/>
        <sz val="10"/>
        <color theme="1"/>
        <rFont val="Cambria"/>
        <family val="1"/>
      </rPr>
      <t>inv</t>
    </r>
  </si>
  <si>
    <r>
      <t>Σ</t>
    </r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d</t>
    </r>
  </si>
  <si>
    <r>
      <t>Σ</t>
    </r>
    <r>
      <rPr>
        <b/>
        <i/>
        <sz val="10"/>
        <color theme="1"/>
        <rFont val="Cambria"/>
        <family val="1"/>
      </rPr>
      <t>C</t>
    </r>
    <r>
      <rPr>
        <b/>
        <vertAlign val="superscript"/>
        <sz val="10"/>
        <color theme="1"/>
        <rFont val="Cambria"/>
        <family val="1"/>
      </rPr>
      <t>fin</t>
    </r>
  </si>
  <si>
    <t>total capital</t>
  </si>
  <si>
    <r>
      <t>Σ</t>
    </r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e</t>
    </r>
  </si>
  <si>
    <r>
      <t>Σ</t>
    </r>
    <r>
      <rPr>
        <b/>
        <i/>
        <sz val="10"/>
        <color rgb="FF002060"/>
        <rFont val="Cambria"/>
        <family val="1"/>
      </rPr>
      <t>C</t>
    </r>
    <r>
      <rPr>
        <b/>
        <i/>
        <vertAlign val="superscript"/>
        <sz val="10"/>
        <color rgb="FF002060"/>
        <rFont val="Cambria"/>
        <family val="1"/>
      </rPr>
      <t>o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</si>
  <si>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i/>
        <vertAlign val="superscript"/>
        <sz val="10"/>
        <color rgb="FF002060"/>
        <rFont val="Cambria"/>
        <family val="1"/>
      </rPr>
      <t>o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</si>
  <si>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i/>
        <vertAlign val="superscript"/>
        <sz val="10"/>
        <color rgb="FF002060"/>
        <rFont val="Cambria"/>
        <family val="1"/>
      </rPr>
      <t>o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</si>
  <si>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i/>
        <vertAlign val="superscript"/>
        <sz val="10"/>
        <color rgb="FF002060"/>
        <rFont val="Cambria"/>
        <family val="1"/>
      </rPr>
      <t>Vo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</si>
  <si>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i/>
        <vertAlign val="superscript"/>
        <sz val="10"/>
        <color rgb="FF002060"/>
        <rFont val="Cambria"/>
        <family val="1"/>
      </rPr>
      <t>Vo</t>
    </r>
  </si>
  <si>
    <r>
      <t>Σ</t>
    </r>
    <r>
      <rPr>
        <b/>
        <i/>
        <sz val="10"/>
        <color rgb="FF002060"/>
        <rFont val="Cambria"/>
        <family val="1"/>
      </rPr>
      <t>C</t>
    </r>
    <r>
      <rPr>
        <b/>
        <i/>
        <vertAlign val="superscript"/>
        <sz val="10"/>
        <color rgb="FF002060"/>
        <rFont val="Cambria"/>
        <family val="1"/>
      </rPr>
      <t>l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</si>
  <si>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i/>
        <vertAlign val="superscript"/>
        <sz val="10"/>
        <color rgb="FF002060"/>
        <rFont val="Cambria"/>
        <family val="1"/>
      </rPr>
      <t>l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</si>
  <si>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i/>
        <vertAlign val="superscript"/>
        <sz val="10"/>
        <color rgb="FF002060"/>
        <rFont val="Cambria"/>
        <family val="1"/>
      </rPr>
      <t>l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</si>
  <si>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i/>
        <vertAlign val="superscript"/>
        <sz val="10"/>
        <color rgb="FF002060"/>
        <rFont val="Cambria"/>
        <family val="1"/>
      </rPr>
      <t>Vl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</si>
  <si>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i/>
        <vertAlign val="superscript"/>
        <sz val="10"/>
        <color rgb="FF002060"/>
        <rFont val="Cambria"/>
        <family val="1"/>
      </rPr>
      <t>Vl</t>
    </r>
  </si>
  <si>
    <r>
      <t>Σ</t>
    </r>
    <r>
      <rPr>
        <b/>
        <i/>
        <sz val="10"/>
        <color rgb="FF002060"/>
        <rFont val="Cambria"/>
        <family val="1"/>
      </rPr>
      <t>C</t>
    </r>
    <r>
      <rPr>
        <b/>
        <vertAlign val="superscript"/>
        <sz val="10"/>
        <color rgb="FF002060"/>
        <rFont val="Cambria"/>
        <family val="1"/>
      </rPr>
      <t>inv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</si>
  <si>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vertAlign val="superscript"/>
        <sz val="10"/>
        <color rgb="FF002060"/>
        <rFont val="Cambria"/>
        <family val="1"/>
      </rPr>
      <t>inv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</si>
  <si>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vertAlign val="superscript"/>
        <sz val="10"/>
        <color rgb="FF002060"/>
        <rFont val="Cambria"/>
        <family val="1"/>
      </rPr>
      <t>inv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</si>
  <si>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i/>
        <vertAlign val="superscript"/>
        <sz val="10"/>
        <color rgb="FF002060"/>
        <rFont val="Cambria"/>
        <family val="1"/>
      </rPr>
      <t>V</t>
    </r>
    <r>
      <rPr>
        <b/>
        <vertAlign val="superscript"/>
        <sz val="10"/>
        <color rgb="FF002060"/>
        <rFont val="Cambria"/>
        <family val="1"/>
      </rPr>
      <t>inv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</si>
  <si>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i/>
        <vertAlign val="superscript"/>
        <sz val="10"/>
        <color rgb="FF002060"/>
        <rFont val="Cambria"/>
        <family val="1"/>
      </rPr>
      <t>V</t>
    </r>
    <r>
      <rPr>
        <b/>
        <vertAlign val="superscript"/>
        <sz val="10"/>
        <color rgb="FF002060"/>
        <rFont val="Cambria"/>
        <family val="1"/>
      </rPr>
      <t>inv</t>
    </r>
  </si>
  <si>
    <r>
      <t>Σ</t>
    </r>
    <r>
      <rPr>
        <b/>
        <i/>
        <sz val="10"/>
        <color rgb="FF002060"/>
        <rFont val="Cambria"/>
        <family val="1"/>
      </rPr>
      <t>C</t>
    </r>
    <r>
      <rPr>
        <b/>
        <i/>
        <vertAlign val="superscript"/>
        <sz val="10"/>
        <color rgb="FF002060"/>
        <rFont val="Cambria"/>
        <family val="1"/>
      </rPr>
      <t>d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</si>
  <si>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i/>
        <vertAlign val="superscript"/>
        <sz val="10"/>
        <color rgb="FF002060"/>
        <rFont val="Cambria"/>
        <family val="1"/>
      </rPr>
      <t>d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</si>
  <si>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i/>
        <vertAlign val="superscript"/>
        <sz val="10"/>
        <color rgb="FF002060"/>
        <rFont val="Cambria"/>
        <family val="1"/>
      </rPr>
      <t>d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</si>
  <si>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i/>
        <vertAlign val="superscript"/>
        <sz val="10"/>
        <color rgb="FF002060"/>
        <rFont val="Cambria"/>
        <family val="1"/>
      </rPr>
      <t>Vd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</si>
  <si>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i/>
        <vertAlign val="superscript"/>
        <sz val="10"/>
        <color rgb="FF002060"/>
        <rFont val="Cambria"/>
        <family val="1"/>
      </rPr>
      <t>Vd</t>
    </r>
  </si>
  <si>
    <r>
      <t>Σ</t>
    </r>
    <r>
      <rPr>
        <b/>
        <i/>
        <sz val="10"/>
        <color rgb="FF002060"/>
        <rFont val="Cambria"/>
        <family val="1"/>
      </rPr>
      <t>C</t>
    </r>
    <r>
      <rPr>
        <b/>
        <i/>
        <vertAlign val="superscript"/>
        <sz val="10"/>
        <color rgb="FF002060"/>
        <rFont val="Cambria"/>
        <family val="1"/>
      </rPr>
      <t>e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</si>
  <si>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i/>
        <vertAlign val="superscript"/>
        <sz val="10"/>
        <color rgb="FF002060"/>
        <rFont val="Cambria"/>
        <family val="1"/>
      </rPr>
      <t>e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</si>
  <si>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i/>
        <vertAlign val="superscript"/>
        <sz val="10"/>
        <color rgb="FF002060"/>
        <rFont val="Cambria"/>
        <family val="1"/>
      </rPr>
      <t>e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</si>
  <si>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i/>
        <vertAlign val="superscript"/>
        <sz val="10"/>
        <color rgb="FF002060"/>
        <rFont val="Cambria"/>
        <family val="1"/>
      </rPr>
      <t>Ve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</si>
  <si>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i/>
        <vertAlign val="superscript"/>
        <sz val="10"/>
        <color rgb="FF002060"/>
        <rFont val="Cambria"/>
        <family val="1"/>
      </rPr>
      <t>Ve</t>
    </r>
  </si>
  <si>
    <r>
      <t>Σ</t>
    </r>
    <r>
      <rPr>
        <b/>
        <i/>
        <sz val="10"/>
        <color rgb="FF002060"/>
        <rFont val="Cambria"/>
        <family val="1"/>
      </rPr>
      <t>C</t>
    </r>
    <r>
      <rPr>
        <b/>
        <vertAlign val="superscript"/>
        <sz val="10"/>
        <color rgb="FF002060"/>
        <rFont val="Cambria"/>
        <family val="1"/>
      </rPr>
      <t>fin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</si>
  <si>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vertAlign val="superscript"/>
        <sz val="10"/>
        <color rgb="FF002060"/>
        <rFont val="Cambria"/>
        <family val="1"/>
      </rPr>
      <t>fin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</si>
  <si>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vertAlign val="superscript"/>
        <sz val="10"/>
        <color rgb="FF002060"/>
        <rFont val="Cambria"/>
        <family val="1"/>
      </rPr>
      <t>fin</t>
    </r>
  </si>
  <si>
    <r>
      <t>Σ</t>
    </r>
    <r>
      <rPr>
        <b/>
        <i/>
        <sz val="10"/>
        <color rgb="FF002060"/>
        <rFont val="Cambria"/>
        <family val="1"/>
      </rPr>
      <t>I</t>
    </r>
    <r>
      <rPr>
        <b/>
        <i/>
        <vertAlign val="superscript"/>
        <sz val="10"/>
        <color rgb="FF002060"/>
        <rFont val="Cambria"/>
        <family val="1"/>
      </rPr>
      <t>V</t>
    </r>
    <r>
      <rPr>
        <b/>
        <vertAlign val="superscript"/>
        <sz val="10"/>
        <color rgb="FF002060"/>
        <rFont val="Cambria"/>
        <family val="1"/>
      </rPr>
      <t>fin</t>
    </r>
  </si>
  <si>
    <r>
      <t>Σ</t>
    </r>
    <r>
      <rPr>
        <b/>
        <i/>
        <sz val="10"/>
        <color rgb="FF002060"/>
        <rFont val="Cambria"/>
        <family val="1"/>
      </rPr>
      <t>F</t>
    </r>
    <r>
      <rPr>
        <b/>
        <i/>
        <vertAlign val="superscript"/>
        <sz val="10"/>
        <color rgb="FF002060"/>
        <rFont val="Cambria"/>
        <family val="1"/>
      </rPr>
      <t>V</t>
    </r>
    <r>
      <rPr>
        <b/>
        <vertAlign val="superscript"/>
        <sz val="10"/>
        <color rgb="FF002060"/>
        <rFont val="Cambria"/>
        <family val="1"/>
      </rPr>
      <t>fin</t>
    </r>
  </si>
  <si>
    <t>area</t>
  </si>
  <si>
    <t>Customers</t>
  </si>
  <si>
    <t>Inventory</t>
  </si>
  <si>
    <t>Suppliers (m)</t>
  </si>
  <si>
    <t>Suppliers (nm)</t>
  </si>
  <si>
    <t>Employees (m)</t>
  </si>
  <si>
    <t>Fixed assets</t>
  </si>
  <si>
    <t>Treasury</t>
  </si>
  <si>
    <t>Operating area</t>
  </si>
  <si>
    <t>Non operating area</t>
  </si>
  <si>
    <t>Debt area</t>
  </si>
  <si>
    <t>Equity area</t>
  </si>
  <si>
    <t>Investment area</t>
  </si>
  <si>
    <t>Financing area</t>
  </si>
  <si>
    <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ar</t>
    </r>
  </si>
  <si>
    <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ap,m</t>
    </r>
  </si>
  <si>
    <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ap,nm</t>
    </r>
  </si>
  <si>
    <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swp,m</t>
    </r>
  </si>
  <si>
    <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swp,nm</t>
    </r>
  </si>
  <si>
    <r>
      <t xml:space="preserve"> –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nfa</t>
    </r>
  </si>
  <si>
    <r>
      <t xml:space="preserve"> + </t>
    </r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tp</t>
    </r>
  </si>
  <si>
    <r>
      <t>C</t>
    </r>
    <r>
      <rPr>
        <b/>
        <vertAlign val="subscript"/>
        <sz val="10"/>
        <color theme="1"/>
        <rFont val="Arial Black"/>
        <family val="2"/>
      </rPr>
      <t>-1</t>
    </r>
  </si>
  <si>
    <t xml:space="preserve"> + Operating income</t>
  </si>
  <si>
    <t>Income from assets</t>
  </si>
  <si>
    <t>Income to capital providers</t>
  </si>
  <si>
    <t>Cash flow from assets</t>
  </si>
  <si>
    <t>Cash flow to capital providers</t>
  </si>
  <si>
    <t>Earnings Before Interest, Taxes, Depreciation and Amortization</t>
  </si>
  <si>
    <t>Earnings Before Interest and Taxes</t>
  </si>
  <si>
    <t>Earnings BeforeTaxes</t>
  </si>
  <si>
    <r>
      <rPr>
        <sz val="10"/>
        <rFont val="Cambria"/>
        <family val="1"/>
      </rPr>
      <t xml:space="preserve"> – </t>
    </r>
    <r>
      <rPr>
        <i/>
        <sz val="10"/>
        <rFont val="Cambria"/>
        <family val="1"/>
      </rPr>
      <t>I</t>
    </r>
    <r>
      <rPr>
        <i/>
        <vertAlign val="superscript"/>
        <sz val="10"/>
        <rFont val="Cambria"/>
        <family val="1"/>
      </rPr>
      <t>d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</si>
  <si>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0</t>
    </r>
    <r>
      <rPr>
        <b/>
        <sz val="10"/>
        <rFont val="Arial Black"/>
        <family val="2"/>
      </rPr>
      <t>–I</t>
    </r>
    <r>
      <rPr>
        <b/>
        <vertAlign val="subscript"/>
        <sz val="10"/>
        <rFont val="Arial Black"/>
        <family val="2"/>
      </rPr>
      <t>0</t>
    </r>
  </si>
  <si>
    <r>
      <t>–(F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0</t>
    </r>
    <r>
      <rPr>
        <b/>
        <sz val="10"/>
        <rFont val="Arial Black"/>
        <family val="2"/>
      </rPr>
      <t>–F</t>
    </r>
    <r>
      <rPr>
        <b/>
        <vertAlign val="subscript"/>
        <sz val="10"/>
        <rFont val="Arial Black"/>
        <family val="2"/>
      </rPr>
      <t>0</t>
    </r>
    <r>
      <rPr>
        <b/>
        <sz val="10"/>
        <rFont val="Arial Black"/>
        <family val="2"/>
      </rPr>
      <t>)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</si>
  <si>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1</t>
    </r>
    <r>
      <rPr>
        <b/>
        <sz val="10"/>
        <rFont val="Arial Black"/>
        <family val="2"/>
      </rPr>
      <t>–I</t>
    </r>
    <r>
      <rPr>
        <b/>
        <vertAlign val="subscript"/>
        <sz val="10"/>
        <rFont val="Arial Black"/>
        <family val="2"/>
      </rPr>
      <t>1</t>
    </r>
  </si>
  <si>
    <r>
      <t>–(F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1</t>
    </r>
    <r>
      <rPr>
        <b/>
        <sz val="10"/>
        <rFont val="Arial Black"/>
        <family val="2"/>
      </rPr>
      <t>–F</t>
    </r>
    <r>
      <rPr>
        <b/>
        <vertAlign val="subscript"/>
        <sz val="10"/>
        <rFont val="Arial Black"/>
        <family val="2"/>
      </rPr>
      <t>1</t>
    </r>
    <r>
      <rPr>
        <b/>
        <sz val="10"/>
        <rFont val="Arial Black"/>
        <family val="2"/>
      </rPr>
      <t>)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</si>
  <si>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2</t>
    </r>
    <r>
      <rPr>
        <b/>
        <sz val="10"/>
        <rFont val="Arial Black"/>
        <family val="2"/>
      </rPr>
      <t>–I</t>
    </r>
    <r>
      <rPr>
        <b/>
        <vertAlign val="subscript"/>
        <sz val="10"/>
        <rFont val="Arial Black"/>
        <family val="2"/>
      </rPr>
      <t>2</t>
    </r>
  </si>
  <si>
    <r>
      <t>–(F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2</t>
    </r>
    <r>
      <rPr>
        <b/>
        <sz val="10"/>
        <rFont val="Arial Black"/>
        <family val="2"/>
      </rPr>
      <t>–F</t>
    </r>
    <r>
      <rPr>
        <b/>
        <vertAlign val="subscript"/>
        <sz val="10"/>
        <rFont val="Arial Black"/>
        <family val="2"/>
      </rPr>
      <t>2</t>
    </r>
    <r>
      <rPr>
        <b/>
        <sz val="10"/>
        <rFont val="Arial Black"/>
        <family val="2"/>
      </rPr>
      <t>)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</si>
  <si>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3</t>
    </r>
    <r>
      <rPr>
        <b/>
        <sz val="10"/>
        <rFont val="Arial Black"/>
        <family val="2"/>
      </rPr>
      <t>–I</t>
    </r>
    <r>
      <rPr>
        <b/>
        <vertAlign val="subscript"/>
        <sz val="10"/>
        <rFont val="Arial Black"/>
        <family val="2"/>
      </rPr>
      <t>3</t>
    </r>
  </si>
  <si>
    <r>
      <t>–(F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3</t>
    </r>
    <r>
      <rPr>
        <b/>
        <sz val="10"/>
        <rFont val="Arial Black"/>
        <family val="2"/>
      </rPr>
      <t>–F</t>
    </r>
    <r>
      <rPr>
        <b/>
        <vertAlign val="subscript"/>
        <sz val="10"/>
        <rFont val="Arial Black"/>
        <family val="2"/>
      </rPr>
      <t>3</t>
    </r>
    <r>
      <rPr>
        <b/>
        <sz val="10"/>
        <rFont val="Arial Black"/>
        <family val="2"/>
      </rPr>
      <t>)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</si>
  <si>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4</t>
    </r>
    <r>
      <rPr>
        <b/>
        <sz val="10"/>
        <rFont val="Arial Black"/>
        <family val="2"/>
      </rPr>
      <t>–I</t>
    </r>
    <r>
      <rPr>
        <b/>
        <vertAlign val="subscript"/>
        <sz val="10"/>
        <rFont val="Arial Black"/>
        <family val="2"/>
      </rPr>
      <t>4</t>
    </r>
  </si>
  <si>
    <r>
      <t>–(F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4</t>
    </r>
    <r>
      <rPr>
        <b/>
        <sz val="10"/>
        <rFont val="Arial Black"/>
        <family val="2"/>
      </rPr>
      <t>–F</t>
    </r>
    <r>
      <rPr>
        <b/>
        <vertAlign val="subscript"/>
        <sz val="10"/>
        <rFont val="Arial Black"/>
        <family val="2"/>
      </rPr>
      <t>4</t>
    </r>
    <r>
      <rPr>
        <b/>
        <sz val="10"/>
        <rFont val="Arial Black"/>
        <family val="2"/>
      </rPr>
      <t>)</t>
    </r>
  </si>
  <si>
    <r>
      <t>+I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5</t>
    </r>
    <r>
      <rPr>
        <b/>
        <sz val="10"/>
        <rFont val="Arial Black"/>
        <family val="2"/>
      </rPr>
      <t>–I</t>
    </r>
    <r>
      <rPr>
        <b/>
        <vertAlign val="subscript"/>
        <sz val="10"/>
        <rFont val="Arial Black"/>
        <family val="2"/>
      </rPr>
      <t>5</t>
    </r>
  </si>
  <si>
    <r>
      <t>–(F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 Black"/>
        <family val="2"/>
      </rPr>
      <t>5</t>
    </r>
    <r>
      <rPr>
        <b/>
        <sz val="10"/>
        <rFont val="Arial Black"/>
        <family val="2"/>
      </rPr>
      <t>–F</t>
    </r>
    <r>
      <rPr>
        <b/>
        <vertAlign val="subscript"/>
        <sz val="10"/>
        <rFont val="Arial Black"/>
        <family val="2"/>
      </rPr>
      <t>5</t>
    </r>
    <r>
      <rPr>
        <b/>
        <sz val="10"/>
        <rFont val="Arial Black"/>
        <family val="2"/>
      </rPr>
      <t>)</t>
    </r>
  </si>
  <si>
    <t>Suppliers</t>
  </si>
  <si>
    <t>Employees</t>
  </si>
  <si>
    <t>Debtholders</t>
  </si>
  <si>
    <t>Equityholders</t>
  </si>
  <si>
    <t>Transposed Matrix</t>
  </si>
  <si>
    <t>project 
rate of return</t>
  </si>
  <si>
    <t>– COGS</t>
  </si>
  <si>
    <t>– SGA</t>
  </si>
  <si>
    <t xml:space="preserve"> – Cost Of Goods Sold</t>
  </si>
  <si>
    <t xml:space="preserve">  + Income from inventory (Δ Inventory)</t>
  </si>
  <si>
    <t xml:space="preserve">  – Cost of Purchases (manufacturing)</t>
  </si>
  <si>
    <t xml:space="preserve">  – Labor costs (manufacturing)</t>
  </si>
  <si>
    <t xml:space="preserve">  – Cost of Purchases (nonmanufacturing)</t>
  </si>
  <si>
    <t xml:space="preserve">  – Labor costs (nonmanufacturing)</t>
  </si>
  <si>
    <t xml:space="preserve">   + ΔInv</t>
  </si>
  <si>
    <r>
      <t xml:space="preserve">   – COP</t>
    </r>
    <r>
      <rPr>
        <i/>
        <vertAlign val="superscript"/>
        <sz val="10"/>
        <rFont val="Cambria"/>
        <family val="1"/>
      </rPr>
      <t>m</t>
    </r>
  </si>
  <si>
    <r>
      <t xml:space="preserve">   – LC</t>
    </r>
    <r>
      <rPr>
        <i/>
        <vertAlign val="superscript"/>
        <sz val="10"/>
        <rFont val="Cambria"/>
        <family val="1"/>
      </rPr>
      <t>m</t>
    </r>
  </si>
  <si>
    <r>
      <t xml:space="preserve">   – COP</t>
    </r>
    <r>
      <rPr>
        <i/>
        <vertAlign val="superscript"/>
        <sz val="10"/>
        <rFont val="Cambria"/>
        <family val="1"/>
      </rPr>
      <t>nm</t>
    </r>
  </si>
  <si>
    <r>
      <t xml:space="preserve">   – LC</t>
    </r>
    <r>
      <rPr>
        <i/>
        <vertAlign val="superscript"/>
        <sz val="10"/>
        <rFont val="Cambria"/>
        <family val="1"/>
      </rPr>
      <t>nm</t>
    </r>
  </si>
  <si>
    <t xml:space="preserve"> – Selling General and Administrative Expenses</t>
  </si>
  <si>
    <r>
      <t>i</t>
    </r>
    <r>
      <rPr>
        <b/>
        <vertAlign val="superscript"/>
        <sz val="10"/>
        <color theme="1"/>
        <rFont val="Cambria"/>
        <family val="1"/>
      </rPr>
      <t>inv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average</t>
    </r>
    <r>
      <rPr>
        <b/>
        <i/>
        <sz val="10"/>
        <color theme="1"/>
        <rFont val="Cambria"/>
        <family val="1"/>
      </rPr>
      <t xml:space="preserve"> </t>
    </r>
    <r>
      <rPr>
        <b/>
        <sz val="10"/>
        <color theme="1"/>
        <rFont val="Cambria"/>
        <family val="1"/>
      </rPr>
      <t>ROA</t>
    </r>
  </si>
  <si>
    <r>
      <t>i</t>
    </r>
    <r>
      <rPr>
        <b/>
        <i/>
        <vertAlign val="superscript"/>
        <sz val="10"/>
        <color theme="1"/>
        <rFont val="Cambria"/>
        <family val="1"/>
      </rPr>
      <t>l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average ROL</t>
    </r>
  </si>
  <si>
    <r>
      <t>i</t>
    </r>
    <r>
      <rPr>
        <b/>
        <i/>
        <vertAlign val="superscript"/>
        <sz val="10"/>
        <color theme="1"/>
        <rFont val="Cambria"/>
        <family val="1"/>
      </rPr>
      <t>o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average ROI</t>
    </r>
  </si>
  <si>
    <r>
      <t>i</t>
    </r>
    <r>
      <rPr>
        <b/>
        <i/>
        <vertAlign val="superscript"/>
        <sz val="10"/>
        <color theme="1"/>
        <rFont val="Cambria"/>
        <family val="1"/>
      </rPr>
      <t>e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average ROE</t>
    </r>
  </si>
  <si>
    <r>
      <t>i</t>
    </r>
    <r>
      <rPr>
        <b/>
        <vertAlign val="superscript"/>
        <sz val="10"/>
        <color theme="1"/>
        <rFont val="Cambria"/>
        <family val="1"/>
      </rPr>
      <t>fin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average</t>
    </r>
    <r>
      <rPr>
        <b/>
        <i/>
        <sz val="10"/>
        <color theme="1"/>
        <rFont val="Cambria"/>
        <family val="1"/>
      </rPr>
      <t xml:space="preserve"> </t>
    </r>
    <r>
      <rPr>
        <b/>
        <sz val="10"/>
        <color theme="1"/>
        <rFont val="Cambria"/>
        <family val="1"/>
      </rPr>
      <t>ROA</t>
    </r>
  </si>
  <si>
    <r>
      <t>i</t>
    </r>
    <r>
      <rPr>
        <b/>
        <i/>
        <vertAlign val="superscript"/>
        <sz val="10"/>
        <color theme="1"/>
        <rFont val="Cambria"/>
        <family val="1"/>
      </rPr>
      <t>o</t>
    </r>
    <r>
      <rPr>
        <b/>
        <i/>
        <sz val="10"/>
        <color theme="1"/>
        <rFont val="Cambria"/>
        <family val="1"/>
      </rPr>
      <t>– ρ</t>
    </r>
    <r>
      <rPr>
        <b/>
        <i/>
        <vertAlign val="superscript"/>
        <sz val="10"/>
        <color theme="1"/>
        <rFont val="Cambria"/>
        <family val="1"/>
      </rPr>
      <t>o</t>
    </r>
  </si>
  <si>
    <r>
      <t>i</t>
    </r>
    <r>
      <rPr>
        <b/>
        <i/>
        <vertAlign val="superscript"/>
        <sz val="10"/>
        <color theme="1"/>
        <rFont val="Cambria"/>
        <family val="1"/>
      </rPr>
      <t>l</t>
    </r>
    <r>
      <rPr>
        <b/>
        <i/>
        <sz val="10"/>
        <color theme="1"/>
        <rFont val="Cambria"/>
        <family val="1"/>
      </rPr>
      <t>– ρ</t>
    </r>
    <r>
      <rPr>
        <b/>
        <i/>
        <vertAlign val="superscript"/>
        <sz val="10"/>
        <color theme="1"/>
        <rFont val="Cambria"/>
        <family val="1"/>
      </rPr>
      <t>l</t>
    </r>
  </si>
  <si>
    <r>
      <t>i</t>
    </r>
    <r>
      <rPr>
        <b/>
        <vertAlign val="superscript"/>
        <sz val="10"/>
        <color theme="1"/>
        <rFont val="Cambria"/>
        <family val="1"/>
      </rPr>
      <t>inv</t>
    </r>
    <r>
      <rPr>
        <b/>
        <i/>
        <sz val="10"/>
        <color theme="1"/>
        <rFont val="Cambria"/>
        <family val="1"/>
      </rPr>
      <t>– ρ</t>
    </r>
    <r>
      <rPr>
        <b/>
        <vertAlign val="superscript"/>
        <sz val="10"/>
        <color theme="1"/>
        <rFont val="Cambria"/>
        <family val="1"/>
      </rPr>
      <t>inv</t>
    </r>
  </si>
  <si>
    <r>
      <t>i</t>
    </r>
    <r>
      <rPr>
        <b/>
        <i/>
        <vertAlign val="superscript"/>
        <sz val="10"/>
        <color theme="1"/>
        <rFont val="Cambria"/>
        <family val="1"/>
      </rPr>
      <t>d</t>
    </r>
    <r>
      <rPr>
        <b/>
        <i/>
        <sz val="10"/>
        <color theme="1"/>
        <rFont val="Cambria"/>
        <family val="1"/>
      </rPr>
      <t>– ρ</t>
    </r>
    <r>
      <rPr>
        <b/>
        <i/>
        <vertAlign val="superscript"/>
        <sz val="10"/>
        <color theme="1"/>
        <rFont val="Cambria"/>
        <family val="1"/>
      </rPr>
      <t>d</t>
    </r>
  </si>
  <si>
    <r>
      <t>i</t>
    </r>
    <r>
      <rPr>
        <b/>
        <i/>
        <vertAlign val="superscript"/>
        <sz val="10"/>
        <color theme="1"/>
        <rFont val="Cambria"/>
        <family val="1"/>
      </rPr>
      <t>e</t>
    </r>
    <r>
      <rPr>
        <b/>
        <i/>
        <sz val="10"/>
        <color theme="1"/>
        <rFont val="Cambria"/>
        <family val="1"/>
      </rPr>
      <t>– ρ</t>
    </r>
    <r>
      <rPr>
        <b/>
        <i/>
        <vertAlign val="superscript"/>
        <sz val="10"/>
        <color theme="1"/>
        <rFont val="Cambria"/>
        <family val="1"/>
      </rPr>
      <t>e</t>
    </r>
  </si>
  <si>
    <r>
      <t>i</t>
    </r>
    <r>
      <rPr>
        <b/>
        <vertAlign val="superscript"/>
        <sz val="10"/>
        <color theme="1"/>
        <rFont val="Cambria"/>
        <family val="1"/>
      </rPr>
      <t>fin</t>
    </r>
    <r>
      <rPr>
        <b/>
        <i/>
        <sz val="10"/>
        <color theme="1"/>
        <rFont val="Cambria"/>
        <family val="1"/>
      </rPr>
      <t>– ρ</t>
    </r>
    <r>
      <rPr>
        <b/>
        <vertAlign val="superscript"/>
        <sz val="10"/>
        <color theme="1"/>
        <rFont val="Cambria"/>
        <family val="1"/>
      </rPr>
      <t>fin</t>
    </r>
  </si>
  <si>
    <t>book value</t>
  </si>
  <si>
    <t>cash flow</t>
  </si>
  <si>
    <t>Investments = Financing</t>
  </si>
  <si>
    <r>
      <rPr>
        <b/>
        <i/>
        <sz val="10"/>
        <color theme="1"/>
        <rFont val="Calibri"/>
        <family val="2"/>
      </rPr>
      <t>ρ</t>
    </r>
    <r>
      <rPr>
        <b/>
        <i/>
        <vertAlign val="superscript"/>
        <sz val="10"/>
        <color theme="1"/>
        <rFont val="Cambria"/>
        <family val="1"/>
      </rPr>
      <t>o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operating MARR</t>
    </r>
  </si>
  <si>
    <r>
      <rPr>
        <b/>
        <i/>
        <sz val="10"/>
        <color theme="1"/>
        <rFont val="Calibri"/>
        <family val="2"/>
      </rPr>
      <t>ρ</t>
    </r>
    <r>
      <rPr>
        <b/>
        <i/>
        <vertAlign val="superscript"/>
        <sz val="10"/>
        <color theme="1"/>
        <rFont val="Cambria"/>
        <family val="1"/>
      </rPr>
      <t>l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non-operating MARR</t>
    </r>
  </si>
  <si>
    <r>
      <rPr>
        <b/>
        <i/>
        <sz val="10"/>
        <color theme="1"/>
        <rFont val="Calibri"/>
        <family val="2"/>
      </rPr>
      <t>ρ</t>
    </r>
    <r>
      <rPr>
        <b/>
        <i/>
        <vertAlign val="superscript"/>
        <sz val="10"/>
        <color theme="1"/>
        <rFont val="Cambria"/>
        <family val="1"/>
      </rPr>
      <t>d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debt MARR</t>
    </r>
  </si>
  <si>
    <r>
      <rPr>
        <b/>
        <i/>
        <sz val="10"/>
        <color theme="1"/>
        <rFont val="Calibri"/>
        <family val="2"/>
      </rPr>
      <t>ρ</t>
    </r>
    <r>
      <rPr>
        <vertAlign val="superscript"/>
        <sz val="10"/>
        <color theme="1"/>
        <rFont val="Cambria"/>
        <family val="1"/>
      </rPr>
      <t>inv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project MARR</t>
    </r>
  </si>
  <si>
    <r>
      <rPr>
        <b/>
        <i/>
        <sz val="10"/>
        <color theme="1"/>
        <rFont val="Calibri"/>
        <family val="2"/>
      </rPr>
      <t>ρ</t>
    </r>
    <r>
      <rPr>
        <b/>
        <i/>
        <vertAlign val="superscript"/>
        <sz val="10"/>
        <color theme="1"/>
        <rFont val="Cambria"/>
        <family val="1"/>
      </rPr>
      <t>e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equity MARR</t>
    </r>
  </si>
  <si>
    <r>
      <rPr>
        <b/>
        <i/>
        <sz val="10"/>
        <color theme="1"/>
        <rFont val="Calibri"/>
        <family val="2"/>
      </rPr>
      <t>ρ</t>
    </r>
    <r>
      <rPr>
        <vertAlign val="superscript"/>
        <sz val="10"/>
        <color theme="1"/>
        <rFont val="Cambria"/>
        <family val="1"/>
      </rPr>
      <t>fin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project</t>
    </r>
    <r>
      <rPr>
        <b/>
        <i/>
        <sz val="10"/>
        <color theme="1"/>
        <rFont val="Cambria"/>
        <family val="1"/>
      </rPr>
      <t xml:space="preserve"> </t>
    </r>
    <r>
      <rPr>
        <b/>
        <sz val="10"/>
        <color theme="1"/>
        <rFont val="Cambria"/>
        <family val="1"/>
      </rPr>
      <t>MARR</t>
    </r>
  </si>
  <si>
    <t>Operating income</t>
  </si>
  <si>
    <t>Non-operating income</t>
  </si>
  <si>
    <t>Interest Expenses</t>
  </si>
  <si>
    <t>Carlo Alberto Magni</t>
  </si>
  <si>
    <t>email: magni@unimo.it</t>
  </si>
  <si>
    <t>income</t>
  </si>
  <si>
    <t>CAD.xlsx</t>
  </si>
  <si>
    <t>MARR</t>
  </si>
  <si>
    <t>= financial efficiency ∙ total capital</t>
  </si>
  <si>
    <t>∙</t>
  </si>
  <si>
    <t>=</t>
  </si>
  <si>
    <t>–</t>
  </si>
  <si>
    <t>project rate of return</t>
  </si>
  <si>
    <r>
      <t>Σ C</t>
    </r>
    <r>
      <rPr>
        <b/>
        <vertAlign val="subscript"/>
        <sz val="10"/>
        <rFont val="Arial"/>
        <family val="2"/>
      </rPr>
      <t>t</t>
    </r>
  </si>
  <si>
    <r>
      <t>Σ I</t>
    </r>
    <r>
      <rPr>
        <b/>
        <vertAlign val="subscript"/>
        <sz val="10"/>
        <rFont val="Arial"/>
        <family val="2"/>
      </rPr>
      <t>t</t>
    </r>
  </si>
  <si>
    <r>
      <t>Σ F</t>
    </r>
    <r>
      <rPr>
        <b/>
        <vertAlign val="subscript"/>
        <sz val="10"/>
        <rFont val="Arial"/>
        <family val="2"/>
      </rPr>
      <t>t</t>
    </r>
  </si>
  <si>
    <r>
      <t>Σ F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"/>
        <family val="2"/>
      </rPr>
      <t>t</t>
    </r>
  </si>
  <si>
    <t>total invested capital</t>
  </si>
  <si>
    <r>
      <t>Σ I</t>
    </r>
    <r>
      <rPr>
        <b/>
        <vertAlign val="superscript"/>
        <sz val="10"/>
        <rFont val="Arial Black"/>
        <family val="2"/>
      </rPr>
      <t>V</t>
    </r>
    <r>
      <rPr>
        <b/>
        <vertAlign val="subscript"/>
        <sz val="10"/>
        <rFont val="Arial"/>
        <family val="2"/>
      </rPr>
      <t>t</t>
    </r>
  </si>
  <si>
    <t>Cash Flow Statement</t>
  </si>
  <si>
    <t xml:space="preserve"> – Material used</t>
  </si>
  <si>
    <t>Cash flow from operating activities</t>
  </si>
  <si>
    <t>Cash flow from investing activities</t>
  </si>
  <si>
    <t>Cash flow from financing activities</t>
  </si>
  <si>
    <t>Units sold</t>
  </si>
  <si>
    <t xml:space="preserve"> – Principal repayments</t>
  </si>
  <si>
    <t>Employees (nm)</t>
  </si>
  <si>
    <r>
      <rPr>
        <sz val="10"/>
        <rFont val="Cambria"/>
        <family val="1"/>
      </rPr>
      <t xml:space="preserve"> + </t>
    </r>
    <r>
      <rPr>
        <i/>
        <sz val="10"/>
        <rFont val="Cambria"/>
        <family val="1"/>
      </rPr>
      <t>I</t>
    </r>
    <r>
      <rPr>
        <vertAlign val="superscript"/>
        <sz val="10"/>
        <rFont val="Cambria"/>
        <family val="1"/>
      </rPr>
      <t>e</t>
    </r>
  </si>
  <si>
    <r>
      <t>i</t>
    </r>
    <r>
      <rPr>
        <b/>
        <i/>
        <vertAlign val="superscript"/>
        <sz val="10"/>
        <color theme="1"/>
        <rFont val="Cambria"/>
        <family val="1"/>
      </rPr>
      <t>d</t>
    </r>
    <r>
      <rPr>
        <b/>
        <i/>
        <sz val="10"/>
        <color theme="1"/>
        <rFont val="Cambria"/>
        <family val="1"/>
      </rPr>
      <t xml:space="preserve">
</t>
    </r>
    <r>
      <rPr>
        <b/>
        <sz val="10"/>
        <color theme="1"/>
        <rFont val="Cambria"/>
        <family val="1"/>
      </rPr>
      <t>average ROD</t>
    </r>
  </si>
  <si>
    <t xml:space="preserve"> + EBITDA–T</t>
  </si>
  <si>
    <t>Tax shield NPV</t>
  </si>
  <si>
    <t>Free Cash Flow</t>
  </si>
  <si>
    <t>Unlevered value</t>
  </si>
  <si>
    <t xml:space="preserve"> + Cash flow from operations (CCF)</t>
  </si>
  <si>
    <t xml:space="preserve"> + Cash flow from/to non-operating assets</t>
  </si>
  <si>
    <t xml:space="preserve"> + Cash flow to debtholders</t>
  </si>
  <si>
    <t>Valuation method</t>
  </si>
  <si>
    <r>
      <t xml:space="preserve">Compressed APV (i.e., </t>
    </r>
    <r>
      <rPr>
        <i/>
        <sz val="10"/>
        <rFont val="Arial"/>
        <family val="2"/>
      </rPr>
      <t>r</t>
    </r>
    <r>
      <rPr>
        <i/>
        <vertAlign val="superscript"/>
        <sz val="10"/>
        <rFont val="Arial"/>
        <family val="2"/>
      </rPr>
      <t>o</t>
    </r>
    <r>
      <rPr>
        <vertAlign val="superscript"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= </t>
    </r>
    <r>
      <rPr>
        <i/>
        <sz val="10"/>
        <rFont val="Arial"/>
        <family val="2"/>
      </rPr>
      <t>r</t>
    </r>
    <r>
      <rPr>
        <i/>
        <vertAlign val="superscript"/>
        <sz val="10"/>
        <rFont val="Calibri"/>
        <family val="2"/>
      </rPr>
      <t>τ</t>
    </r>
    <r>
      <rPr>
        <sz val="11"/>
        <rFont val="Arial"/>
        <family val="2"/>
      </rPr>
      <t xml:space="preserve"> = </t>
    </r>
    <r>
      <rPr>
        <i/>
        <sz val="10"/>
        <rFont val="Arial"/>
        <family val="2"/>
      </rPr>
      <t>k</t>
    </r>
    <r>
      <rPr>
        <i/>
        <vertAlign val="superscript"/>
        <sz val="10"/>
        <rFont val="Arial"/>
        <family val="2"/>
      </rPr>
      <t>u</t>
    </r>
    <r>
      <rPr>
        <vertAlign val="superscript"/>
        <sz val="10"/>
        <rFont val="Arial"/>
        <family val="2"/>
      </rPr>
      <t xml:space="preserve"> </t>
    </r>
    <r>
      <rPr>
        <sz val="10"/>
        <rFont val="Arial"/>
        <family val="2"/>
      </rPr>
      <t>)</t>
    </r>
  </si>
  <si>
    <t>Value of tax shields</t>
  </si>
  <si>
    <t>Total ERI = NPV</t>
  </si>
  <si>
    <t>Non-operating area</t>
  </si>
  <si>
    <t>Equity Area</t>
  </si>
  <si>
    <t>Operating Area</t>
  </si>
  <si>
    <t>ROI</t>
  </si>
  <si>
    <t>ROD</t>
  </si>
  <si>
    <t>ROE</t>
  </si>
  <si>
    <t>Operating Value</t>
  </si>
  <si>
    <r>
      <t>Σ V</t>
    </r>
    <r>
      <rPr>
        <b/>
        <vertAlign val="subscript"/>
        <sz val="10"/>
        <rFont val="Arial"/>
        <family val="2"/>
      </rPr>
      <t>t</t>
    </r>
  </si>
  <si>
    <t>Economic value</t>
  </si>
  <si>
    <t>Economic profit</t>
  </si>
  <si>
    <t>Benchmark's cash flows</t>
  </si>
  <si>
    <t>Tax shield</t>
  </si>
  <si>
    <t>After-tax WACC</t>
  </si>
  <si>
    <t>Equity Value</t>
  </si>
  <si>
    <t>Cost of debt</t>
  </si>
  <si>
    <t>Cost of operating assets</t>
  </si>
  <si>
    <t>Economic value of operating assets</t>
  </si>
  <si>
    <t>Economic value of non-operating assets</t>
  </si>
  <si>
    <t>Economic value of debt</t>
  </si>
  <si>
    <t>Economic value of equity</t>
  </si>
  <si>
    <t>tax rate</t>
  </si>
  <si>
    <t>(A) Unlevered NPV</t>
  </si>
  <si>
    <r>
      <t xml:space="preserve">(A) Operating NPV  </t>
    </r>
    <r>
      <rPr>
        <b/>
        <sz val="10"/>
        <rFont val="Cambria"/>
        <family val="1"/>
      </rPr>
      <t>FCF + V</t>
    </r>
    <r>
      <rPr>
        <b/>
        <vertAlign val="superscript"/>
        <sz val="10"/>
        <rFont val="Cambria"/>
        <family val="1"/>
      </rPr>
      <t>o</t>
    </r>
  </si>
  <si>
    <r>
      <t xml:space="preserve">(A) Equity NPV  </t>
    </r>
    <r>
      <rPr>
        <b/>
        <i/>
        <sz val="10"/>
        <rFont val="Cambria"/>
        <family val="1"/>
      </rPr>
      <t>F</t>
    </r>
    <r>
      <rPr>
        <b/>
        <i/>
        <vertAlign val="superscript"/>
        <sz val="10"/>
        <rFont val="Cambria"/>
        <family val="1"/>
      </rPr>
      <t>e</t>
    </r>
    <r>
      <rPr>
        <b/>
        <sz val="10"/>
        <rFont val="Cambria"/>
        <family val="1"/>
      </rPr>
      <t xml:space="preserve"> + </t>
    </r>
    <r>
      <rPr>
        <b/>
        <i/>
        <sz val="10"/>
        <rFont val="Cambria"/>
        <family val="1"/>
      </rPr>
      <t>V</t>
    </r>
    <r>
      <rPr>
        <b/>
        <i/>
        <vertAlign val="superscript"/>
        <sz val="10"/>
        <rFont val="Cambria"/>
        <family val="1"/>
      </rPr>
      <t>e</t>
    </r>
  </si>
  <si>
    <t>Cost of non-operating assets</t>
  </si>
  <si>
    <t>PRELIMINARY CALCULATIONS - 
DATA PROCESSING</t>
  </si>
  <si>
    <t>Free Cash Flow = CCF – Tax Shield</t>
  </si>
  <si>
    <t>Net Financial Expenses = Interest expenses – Interest Income</t>
  </si>
  <si>
    <r>
      <t>NPV</t>
    </r>
    <r>
      <rPr>
        <i/>
        <vertAlign val="superscript"/>
        <sz val="10"/>
        <color rgb="FF0070C0"/>
        <rFont val="Cambria"/>
        <family val="1"/>
      </rPr>
      <t>o</t>
    </r>
    <r>
      <rPr>
        <sz val="10"/>
        <color rgb="FF0070C0"/>
        <rFont val="Cambria"/>
        <family val="1"/>
      </rPr>
      <t xml:space="preserve"> = Σ</t>
    </r>
    <r>
      <rPr>
        <i/>
        <sz val="10"/>
        <color rgb="FF0070C0"/>
        <rFont val="Cambria"/>
        <family val="1"/>
      </rPr>
      <t>C</t>
    </r>
    <r>
      <rPr>
        <i/>
        <vertAlign val="superscript"/>
        <sz val="10"/>
        <color rgb="FF0070C0"/>
        <rFont val="Cambria"/>
        <family val="1"/>
      </rPr>
      <t>o</t>
    </r>
    <r>
      <rPr>
        <sz val="10"/>
        <color rgb="FF0070C0"/>
        <rFont val="Cambria"/>
        <family val="1"/>
      </rPr>
      <t xml:space="preserve"> ∙ (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o</t>
    </r>
    <r>
      <rPr>
        <sz val="10"/>
        <color rgb="FF0070C0"/>
        <rFont val="Cambria"/>
        <family val="1"/>
      </rPr>
      <t xml:space="preserve">– </t>
    </r>
    <r>
      <rPr>
        <i/>
        <sz val="10"/>
        <color rgb="FF0070C0"/>
        <rFont val="Cambria"/>
        <family val="1"/>
      </rPr>
      <t>ρ</t>
    </r>
    <r>
      <rPr>
        <i/>
        <vertAlign val="superscript"/>
        <sz val="10"/>
        <color rgb="FF0070C0"/>
        <rFont val="Cambria"/>
        <family val="1"/>
      </rPr>
      <t>o</t>
    </r>
    <r>
      <rPr>
        <sz val="10"/>
        <color rgb="FF0070C0"/>
        <rFont val="Cambria"/>
        <family val="1"/>
      </rPr>
      <t xml:space="preserve"> )</t>
    </r>
  </si>
  <si>
    <r>
      <t xml:space="preserve">check </t>
    </r>
    <r>
      <rPr>
        <i/>
        <sz val="10"/>
        <color rgb="FF00B050"/>
        <rFont val="Cambria"/>
        <family val="1"/>
      </rPr>
      <t>V</t>
    </r>
    <r>
      <rPr>
        <i/>
        <vertAlign val="superscript"/>
        <sz val="10"/>
        <color rgb="FF00B050"/>
        <rFont val="Cambria"/>
        <family val="1"/>
      </rPr>
      <t>inv</t>
    </r>
    <r>
      <rPr>
        <sz val="10"/>
        <color rgb="FF00B050"/>
        <rFont val="Arial"/>
        <family val="2"/>
      </rPr>
      <t xml:space="preserve"> = </t>
    </r>
    <r>
      <rPr>
        <i/>
        <sz val="10"/>
        <color rgb="FF00B050"/>
        <rFont val="Cambria"/>
        <family val="1"/>
      </rPr>
      <t>V</t>
    </r>
    <r>
      <rPr>
        <i/>
        <vertAlign val="superscript"/>
        <sz val="10"/>
        <color rgb="FF00B050"/>
        <rFont val="Cambria"/>
        <family val="1"/>
      </rPr>
      <t>fin</t>
    </r>
  </si>
  <si>
    <r>
      <t xml:space="preserve">check </t>
    </r>
    <r>
      <rPr>
        <i/>
        <sz val="10"/>
        <color rgb="FF00B050"/>
        <rFont val="Cambria"/>
        <family val="1"/>
      </rPr>
      <t>I</t>
    </r>
    <r>
      <rPr>
        <i/>
        <vertAlign val="superscript"/>
        <sz val="10"/>
        <color rgb="FF00B050"/>
        <rFont val="Cambria"/>
        <family val="1"/>
      </rPr>
      <t>inv</t>
    </r>
    <r>
      <rPr>
        <sz val="10"/>
        <color rgb="FF00B050"/>
        <rFont val="Arial"/>
        <family val="2"/>
      </rPr>
      <t xml:space="preserve"> = </t>
    </r>
    <r>
      <rPr>
        <i/>
        <sz val="10"/>
        <color rgb="FF00B050"/>
        <rFont val="Cambria"/>
        <family val="1"/>
      </rPr>
      <t>I</t>
    </r>
    <r>
      <rPr>
        <i/>
        <vertAlign val="superscript"/>
        <sz val="10"/>
        <color rgb="FF00B050"/>
        <rFont val="Cambria"/>
        <family val="1"/>
      </rPr>
      <t>fin</t>
    </r>
  </si>
  <si>
    <r>
      <t xml:space="preserve">check </t>
    </r>
    <r>
      <rPr>
        <i/>
        <sz val="10"/>
        <color rgb="FF00B050"/>
        <rFont val="Cambria"/>
        <family val="1"/>
      </rPr>
      <t>I</t>
    </r>
    <r>
      <rPr>
        <i/>
        <vertAlign val="superscript"/>
        <sz val="10"/>
        <color rgb="FF00B050"/>
        <rFont val="Cambria"/>
        <family val="1"/>
      </rPr>
      <t>Vinv</t>
    </r>
    <r>
      <rPr>
        <sz val="10"/>
        <color rgb="FF00B050"/>
        <rFont val="Arial"/>
        <family val="2"/>
      </rPr>
      <t xml:space="preserve"> = </t>
    </r>
    <r>
      <rPr>
        <i/>
        <sz val="10"/>
        <color rgb="FF00B050"/>
        <rFont val="Cambria"/>
        <family val="1"/>
      </rPr>
      <t>I</t>
    </r>
    <r>
      <rPr>
        <i/>
        <vertAlign val="superscript"/>
        <sz val="10"/>
        <color rgb="FF00B050"/>
        <rFont val="Cambria"/>
        <family val="1"/>
      </rPr>
      <t>Vfin</t>
    </r>
  </si>
  <si>
    <r>
      <t xml:space="preserve">check </t>
    </r>
    <r>
      <rPr>
        <i/>
        <sz val="10"/>
        <color rgb="FF00B050"/>
        <rFont val="Cambria"/>
        <family val="1"/>
      </rPr>
      <t>F</t>
    </r>
    <r>
      <rPr>
        <i/>
        <vertAlign val="superscript"/>
        <sz val="10"/>
        <color rgb="FF00B050"/>
        <rFont val="Cambria"/>
        <family val="1"/>
      </rPr>
      <t>Vinv</t>
    </r>
    <r>
      <rPr>
        <sz val="10"/>
        <color rgb="FF00B050"/>
        <rFont val="Arial"/>
        <family val="2"/>
      </rPr>
      <t xml:space="preserve"> = </t>
    </r>
    <r>
      <rPr>
        <i/>
        <sz val="10"/>
        <color rgb="FF00B050"/>
        <rFont val="Cambria"/>
        <family val="1"/>
      </rPr>
      <t>F</t>
    </r>
    <r>
      <rPr>
        <i/>
        <vertAlign val="superscript"/>
        <sz val="10"/>
        <color rgb="FF00B050"/>
        <rFont val="Cambria"/>
        <family val="1"/>
      </rPr>
      <t>Vfin</t>
    </r>
  </si>
  <si>
    <t>check Unlevered NPV (A) = (B)</t>
  </si>
  <si>
    <t>check Equity NPV (A) = (B)</t>
  </si>
  <si>
    <t>(A) Equity NPV = Value of investment policy + Value of financial policy</t>
  </si>
  <si>
    <r>
      <t>r</t>
    </r>
    <r>
      <rPr>
        <vertAlign val="superscript"/>
        <sz val="10"/>
        <color rgb="FF0070C0"/>
        <rFont val="Cambria"/>
        <family val="1"/>
      </rPr>
      <t>o</t>
    </r>
    <r>
      <rPr>
        <sz val="10"/>
        <color rgb="FF0070C0"/>
        <rFont val="Cambria"/>
        <family val="1"/>
      </rPr>
      <t xml:space="preserve"> (pre-tax WACC) = ku</t>
    </r>
  </si>
  <si>
    <r>
      <rPr>
        <i/>
        <sz val="11"/>
        <color rgb="FF0070C0"/>
        <rFont val="Calibri"/>
        <family val="2"/>
        <scheme val="minor"/>
      </rPr>
      <t>r</t>
    </r>
    <r>
      <rPr>
        <i/>
        <vertAlign val="superscript"/>
        <sz val="11"/>
        <color rgb="FF0070C0"/>
        <rFont val="Calibri"/>
        <family val="2"/>
        <scheme val="minor"/>
      </rPr>
      <t>l</t>
    </r>
  </si>
  <si>
    <r>
      <t>r</t>
    </r>
    <r>
      <rPr>
        <i/>
        <vertAlign val="superscript"/>
        <sz val="11"/>
        <color rgb="FF0070C0"/>
        <rFont val="Calibri"/>
        <family val="2"/>
        <scheme val="minor"/>
      </rPr>
      <t>d</t>
    </r>
  </si>
  <si>
    <r>
      <t xml:space="preserve">check </t>
    </r>
    <r>
      <rPr>
        <i/>
        <sz val="10"/>
        <color rgb="FF00B050"/>
        <rFont val="Cambria"/>
        <family val="1"/>
      </rPr>
      <t>r</t>
    </r>
    <r>
      <rPr>
        <i/>
        <vertAlign val="superscript"/>
        <sz val="10"/>
        <color rgb="FF00B050"/>
        <rFont val="Cambria"/>
        <family val="1"/>
      </rPr>
      <t>e</t>
    </r>
    <r>
      <rPr>
        <vertAlign val="subscript"/>
        <sz val="10"/>
        <color rgb="FF00B050"/>
        <rFont val="Cambria"/>
        <family val="1"/>
      </rPr>
      <t>i</t>
    </r>
    <r>
      <rPr>
        <sz val="10"/>
        <color rgb="FF00B050"/>
        <rFont val="Arial"/>
        <family val="2"/>
      </rPr>
      <t xml:space="preserve"> (A) = (B) = (C)</t>
    </r>
  </si>
  <si>
    <r>
      <t xml:space="preserve">check pre-tax WACC </t>
    </r>
    <r>
      <rPr>
        <i/>
        <sz val="10"/>
        <color rgb="FF00B050"/>
        <rFont val="Cambria"/>
        <family val="1"/>
      </rPr>
      <t>r</t>
    </r>
    <r>
      <rPr>
        <i/>
        <vertAlign val="superscript"/>
        <sz val="10"/>
        <color rgb="FF00B050"/>
        <rFont val="Cambria"/>
        <family val="1"/>
      </rPr>
      <t>o</t>
    </r>
    <r>
      <rPr>
        <vertAlign val="subscript"/>
        <sz val="10"/>
        <color rgb="FF00B050"/>
        <rFont val="Cambria"/>
        <family val="1"/>
      </rPr>
      <t>i</t>
    </r>
    <r>
      <rPr>
        <sz val="10"/>
        <color rgb="FF00B050"/>
        <rFont val="Arial"/>
        <family val="2"/>
      </rPr>
      <t xml:space="preserve"> (A) = (B)</t>
    </r>
  </si>
  <si>
    <t>check after-tax WACC (A) = (B)</t>
  </si>
  <si>
    <t>check Operating NPV (A) = (B)</t>
  </si>
  <si>
    <r>
      <t xml:space="preserve">check </t>
    </r>
    <r>
      <rPr>
        <i/>
        <sz val="10"/>
        <color rgb="FF00B050"/>
        <rFont val="Cambria"/>
        <family val="1"/>
      </rPr>
      <t>r</t>
    </r>
    <r>
      <rPr>
        <vertAlign val="subscript"/>
        <sz val="10"/>
        <color rgb="FF00B050"/>
        <rFont val="Cambria"/>
        <family val="1"/>
      </rPr>
      <t>i</t>
    </r>
    <r>
      <rPr>
        <sz val="10"/>
        <color rgb="FF00B050"/>
        <rFont val="Arial"/>
        <family val="2"/>
      </rPr>
      <t xml:space="preserve"> (A) = (B)</t>
    </r>
  </si>
  <si>
    <t>check Project Value (A) = (B)</t>
  </si>
  <si>
    <t>(A) Project Value</t>
  </si>
  <si>
    <r>
      <rPr>
        <sz val="10"/>
        <color theme="1" tint="0.499984740745262"/>
        <rFont val="Abadi"/>
        <family val="2"/>
      </rPr>
      <t>(B)</t>
    </r>
    <r>
      <rPr>
        <sz val="10"/>
        <color theme="1" tint="0.499984740745262"/>
        <rFont val="Cambria"/>
        <family val="1"/>
      </rPr>
      <t xml:space="preserve"> + </t>
    </r>
    <r>
      <rPr>
        <i/>
        <sz val="10"/>
        <color theme="1" tint="0.499984740745262"/>
        <rFont val="Cambria"/>
        <family val="1"/>
      </rPr>
      <t>V</t>
    </r>
    <r>
      <rPr>
        <vertAlign val="superscript"/>
        <sz val="10"/>
        <color theme="1" tint="0.499984740745262"/>
        <rFont val="Cambria"/>
        <family val="1"/>
      </rPr>
      <t>inv</t>
    </r>
  </si>
  <si>
    <r>
      <rPr>
        <i/>
        <sz val="10"/>
        <color theme="1" tint="0.499984740745262"/>
        <rFont val="Cambria"/>
        <family val="1"/>
      </rPr>
      <t>r</t>
    </r>
    <r>
      <rPr>
        <i/>
        <vertAlign val="subscript"/>
        <sz val="10"/>
        <color theme="1" tint="0.499984740745262"/>
        <rFont val="Cambria"/>
        <family val="1"/>
      </rPr>
      <t>i</t>
    </r>
  </si>
  <si>
    <t>Project three-panel layout (transposed Matrix)</t>
  </si>
  <si>
    <t>Benchmark three-panel layout (transposed Matrix)</t>
  </si>
  <si>
    <r>
      <t xml:space="preserve">Free Cash Flow to Equity  FCFE = </t>
    </r>
    <r>
      <rPr>
        <i/>
        <sz val="10"/>
        <color theme="1"/>
        <rFont val="Cambria"/>
        <family val="1"/>
      </rPr>
      <t>F</t>
    </r>
    <r>
      <rPr>
        <i/>
        <vertAlign val="superscript"/>
        <sz val="10"/>
        <color theme="1"/>
        <rFont val="Cambria"/>
        <family val="1"/>
      </rPr>
      <t>o</t>
    </r>
    <r>
      <rPr>
        <sz val="10"/>
        <color theme="1"/>
        <rFont val="Arial"/>
        <family val="2"/>
      </rPr>
      <t xml:space="preserve"> – </t>
    </r>
    <r>
      <rPr>
        <i/>
        <sz val="10"/>
        <color theme="1"/>
        <rFont val="Cambria"/>
        <family val="1"/>
      </rPr>
      <t>F</t>
    </r>
    <r>
      <rPr>
        <i/>
        <vertAlign val="superscript"/>
        <sz val="10"/>
        <color theme="1"/>
        <rFont val="Cambria"/>
        <family val="1"/>
      </rPr>
      <t>d</t>
    </r>
  </si>
  <si>
    <t>check terminal CFE (A) = (B)</t>
  </si>
  <si>
    <t>check terminal CFL (A) = (B)</t>
  </si>
  <si>
    <t>FCFE</t>
  </si>
  <si>
    <r>
      <t xml:space="preserve">check </t>
    </r>
    <r>
      <rPr>
        <i/>
        <sz val="10"/>
        <color rgb="FF00B050"/>
        <rFont val="Cambria"/>
        <family val="1"/>
      </rPr>
      <t>C</t>
    </r>
    <r>
      <rPr>
        <i/>
        <vertAlign val="superscript"/>
        <sz val="10"/>
        <color rgb="FF00B050"/>
        <rFont val="Cambria"/>
        <family val="1"/>
      </rPr>
      <t>e</t>
    </r>
    <r>
      <rPr>
        <sz val="10"/>
        <color rgb="FF00B050"/>
        <rFont val="Arial"/>
        <family val="2"/>
      </rPr>
      <t xml:space="preserve"> forward = </t>
    </r>
    <r>
      <rPr>
        <i/>
        <sz val="10"/>
        <color rgb="FF00B050"/>
        <rFont val="Cambria"/>
        <family val="1"/>
      </rPr>
      <t>C</t>
    </r>
    <r>
      <rPr>
        <i/>
        <vertAlign val="superscript"/>
        <sz val="10"/>
        <color rgb="FF00B050"/>
        <rFont val="Cambria"/>
        <family val="1"/>
      </rPr>
      <t>e</t>
    </r>
    <r>
      <rPr>
        <sz val="10"/>
        <color rgb="FF00B050"/>
        <rFont val="Arial"/>
        <family val="2"/>
      </rPr>
      <t xml:space="preserve"> backforward</t>
    </r>
  </si>
  <si>
    <r>
      <t xml:space="preserve">check </t>
    </r>
    <r>
      <rPr>
        <i/>
        <sz val="10"/>
        <color rgb="FF00B050"/>
        <rFont val="Cambria"/>
        <family val="1"/>
      </rPr>
      <t>C</t>
    </r>
    <r>
      <rPr>
        <i/>
        <vertAlign val="superscript"/>
        <sz val="10"/>
        <color rgb="FF00B050"/>
        <rFont val="Cambria"/>
        <family val="1"/>
      </rPr>
      <t>o</t>
    </r>
    <r>
      <rPr>
        <sz val="10"/>
        <color rgb="FF00B050"/>
        <rFont val="Arial"/>
        <family val="2"/>
      </rPr>
      <t xml:space="preserve"> forward = </t>
    </r>
    <r>
      <rPr>
        <i/>
        <sz val="10"/>
        <color rgb="FF00B050"/>
        <rFont val="Cambria"/>
        <family val="1"/>
      </rPr>
      <t>C</t>
    </r>
    <r>
      <rPr>
        <i/>
        <vertAlign val="superscript"/>
        <sz val="10"/>
        <color rgb="FF00B050"/>
        <rFont val="Cambria"/>
        <family val="1"/>
      </rPr>
      <t>o</t>
    </r>
    <r>
      <rPr>
        <sz val="10"/>
        <color rgb="FF00B050"/>
        <rFont val="Arial"/>
        <family val="2"/>
      </rPr>
      <t xml:space="preserve"> backforward</t>
    </r>
  </si>
  <si>
    <r>
      <t xml:space="preserve">check </t>
    </r>
    <r>
      <rPr>
        <i/>
        <sz val="10"/>
        <color rgb="FF00B050"/>
        <rFont val="Cambria"/>
        <family val="1"/>
      </rPr>
      <t>C</t>
    </r>
    <r>
      <rPr>
        <i/>
        <vertAlign val="superscript"/>
        <sz val="10"/>
        <color rgb="FF00B050"/>
        <rFont val="Cambria"/>
        <family val="1"/>
      </rPr>
      <t>l</t>
    </r>
    <r>
      <rPr>
        <sz val="10"/>
        <color rgb="FF00B050"/>
        <rFont val="Arial"/>
        <family val="2"/>
      </rPr>
      <t xml:space="preserve"> forward = </t>
    </r>
    <r>
      <rPr>
        <i/>
        <sz val="10"/>
        <color rgb="FF00B050"/>
        <rFont val="Cambria"/>
        <family val="1"/>
      </rPr>
      <t>C</t>
    </r>
    <r>
      <rPr>
        <i/>
        <vertAlign val="superscript"/>
        <sz val="10"/>
        <color rgb="FF00B050"/>
        <rFont val="Cambria"/>
        <family val="1"/>
      </rPr>
      <t>l</t>
    </r>
    <r>
      <rPr>
        <sz val="10"/>
        <color rgb="FF00B050"/>
        <rFont val="Arial"/>
        <family val="2"/>
      </rPr>
      <t xml:space="preserve"> backforward</t>
    </r>
  </si>
  <si>
    <r>
      <t xml:space="preserve">check </t>
    </r>
    <r>
      <rPr>
        <i/>
        <sz val="10"/>
        <color rgb="FF00B050"/>
        <rFont val="Cambria"/>
        <family val="1"/>
      </rPr>
      <t>C</t>
    </r>
    <r>
      <rPr>
        <i/>
        <vertAlign val="superscript"/>
        <sz val="10"/>
        <color rgb="FF00B050"/>
        <rFont val="Cambria"/>
        <family val="1"/>
      </rPr>
      <t>d</t>
    </r>
    <r>
      <rPr>
        <sz val="10"/>
        <color rgb="FF00B050"/>
        <rFont val="Arial"/>
        <family val="2"/>
      </rPr>
      <t xml:space="preserve"> forward = </t>
    </r>
    <r>
      <rPr>
        <i/>
        <sz val="10"/>
        <color rgb="FF00B050"/>
        <rFont val="Cambria"/>
        <family val="1"/>
      </rPr>
      <t>C</t>
    </r>
    <r>
      <rPr>
        <i/>
        <vertAlign val="superscript"/>
        <sz val="10"/>
        <color rgb="FF00B050"/>
        <rFont val="Cambria"/>
        <family val="1"/>
      </rPr>
      <t>d</t>
    </r>
    <r>
      <rPr>
        <sz val="10"/>
        <color rgb="FF00B050"/>
        <rFont val="Arial"/>
        <family val="2"/>
      </rPr>
      <t xml:space="preserve"> backforward</t>
    </r>
  </si>
  <si>
    <r>
      <t xml:space="preserve">check </t>
    </r>
    <r>
      <rPr>
        <sz val="10"/>
        <color rgb="FF00B050"/>
        <rFont val="Cambria"/>
        <family val="1"/>
      </rPr>
      <t>ROA</t>
    </r>
    <r>
      <rPr>
        <vertAlign val="subscript"/>
        <sz val="10"/>
        <color rgb="FF00B050"/>
        <rFont val="Cambria"/>
        <family val="1"/>
      </rPr>
      <t>i</t>
    </r>
    <r>
      <rPr>
        <sz val="10"/>
        <color rgb="FF00B050"/>
        <rFont val="Arial"/>
        <family val="2"/>
      </rPr>
      <t xml:space="preserve"> (A) = (B) = (C)</t>
    </r>
  </si>
  <si>
    <r>
      <t>ROL</t>
    </r>
    <r>
      <rPr>
        <sz val="10"/>
        <color theme="1"/>
        <rFont val="Arial"/>
        <family val="2"/>
      </rPr>
      <t xml:space="preserve"> (Return on liquid assets)</t>
    </r>
  </si>
  <si>
    <r>
      <t xml:space="preserve">check </t>
    </r>
    <r>
      <rPr>
        <i/>
        <sz val="10"/>
        <color rgb="FF00B050"/>
        <rFont val="Cambria"/>
        <family val="1"/>
      </rPr>
      <t>C</t>
    </r>
    <r>
      <rPr>
        <i/>
        <vertAlign val="superscript"/>
        <sz val="10"/>
        <color rgb="FF00B050"/>
        <rFont val="Cambria"/>
        <family val="1"/>
      </rPr>
      <t>inv</t>
    </r>
    <r>
      <rPr>
        <sz val="10"/>
        <color rgb="FF00B050"/>
        <rFont val="Arial"/>
        <family val="2"/>
      </rPr>
      <t xml:space="preserve"> = </t>
    </r>
    <r>
      <rPr>
        <i/>
        <sz val="10"/>
        <color rgb="FF00B050"/>
        <rFont val="Cambria"/>
        <family val="1"/>
      </rPr>
      <t>C</t>
    </r>
    <r>
      <rPr>
        <i/>
        <vertAlign val="superscript"/>
        <sz val="10"/>
        <color rgb="FF00B050"/>
        <rFont val="Cambria"/>
        <family val="1"/>
      </rPr>
      <t>fin</t>
    </r>
  </si>
  <si>
    <r>
      <t xml:space="preserve">check </t>
    </r>
    <r>
      <rPr>
        <i/>
        <sz val="10"/>
        <color rgb="FF00B050"/>
        <rFont val="Cambria"/>
        <family val="1"/>
      </rPr>
      <t>F</t>
    </r>
    <r>
      <rPr>
        <i/>
        <vertAlign val="superscript"/>
        <sz val="10"/>
        <color rgb="FF00B050"/>
        <rFont val="Cambria"/>
        <family val="1"/>
      </rPr>
      <t>inv</t>
    </r>
    <r>
      <rPr>
        <sz val="10"/>
        <color rgb="FF00B050"/>
        <rFont val="Arial"/>
        <family val="2"/>
      </rPr>
      <t xml:space="preserve"> = </t>
    </r>
    <r>
      <rPr>
        <i/>
        <sz val="10"/>
        <color rgb="FF00B050"/>
        <rFont val="Cambria"/>
        <family val="1"/>
      </rPr>
      <t>F</t>
    </r>
    <r>
      <rPr>
        <i/>
        <vertAlign val="superscript"/>
        <sz val="10"/>
        <color rgb="FF00B050"/>
        <rFont val="Cambria"/>
        <family val="1"/>
      </rPr>
      <t>fin</t>
    </r>
  </si>
  <si>
    <t>Financial Mathematics and Its Unexpected Connections to
Accounting and Corporate Finance</t>
  </si>
  <si>
    <t>University of Modena and Reggio Emilia, Department of Economics “Marco Biagi”
and School of Doctorate E4E (Engineering for Economics - Economics for Engineering)</t>
  </si>
  <si>
    <t>Unlevered NPV</t>
  </si>
  <si>
    <t>Equity NPV = Value of investment policy + Value of financial policy</t>
  </si>
  <si>
    <r>
      <rPr>
        <b/>
        <sz val="10"/>
        <rFont val="Arial"/>
        <family val="2"/>
      </rPr>
      <t>Equity NPV</t>
    </r>
    <r>
      <rPr>
        <sz val="10"/>
        <rFont val="Arial"/>
        <family val="2"/>
      </rPr>
      <t xml:space="preserve"> = Value of investment policy + Value of financial policy</t>
    </r>
  </si>
  <si>
    <r>
      <rPr>
        <b/>
        <sz val="10"/>
        <rFont val="Arial"/>
        <family val="2"/>
      </rPr>
      <t>Value of financial policy</t>
    </r>
    <r>
      <rPr>
        <sz val="10"/>
        <rFont val="Arial"/>
        <family val="2"/>
      </rPr>
      <t xml:space="preserve">  =  </t>
    </r>
    <r>
      <rPr>
        <sz val="10"/>
        <rFont val="Cambria"/>
        <family val="1"/>
      </rPr>
      <t>Tax shield NPV + NPV</t>
    </r>
    <r>
      <rPr>
        <vertAlign val="superscript"/>
        <sz val="10"/>
        <rFont val="Cambria"/>
        <family val="1"/>
      </rPr>
      <t>l</t>
    </r>
    <r>
      <rPr>
        <sz val="10"/>
        <rFont val="Cambria"/>
        <family val="1"/>
      </rPr>
      <t xml:space="preserve"> – NPV</t>
    </r>
    <r>
      <rPr>
        <vertAlign val="superscript"/>
        <sz val="10"/>
        <rFont val="Cambria"/>
        <family val="1"/>
      </rPr>
      <t>d</t>
    </r>
  </si>
  <si>
    <r>
      <rPr>
        <b/>
        <sz val="10"/>
        <rFont val="Arial"/>
        <family val="2"/>
      </rPr>
      <t>(B) Unlevered NPV</t>
    </r>
    <r>
      <rPr>
        <sz val="10"/>
        <rFont val="Arial"/>
        <family val="2"/>
      </rPr>
      <t xml:space="preserve"> = </t>
    </r>
    <r>
      <rPr>
        <sz val="10"/>
        <rFont val="Cambria"/>
        <family val="1"/>
      </rPr>
      <t>NPV</t>
    </r>
    <r>
      <rPr>
        <vertAlign val="superscript"/>
        <sz val="10"/>
        <rFont val="Cambria"/>
        <family val="1"/>
      </rPr>
      <t>o</t>
    </r>
    <r>
      <rPr>
        <sz val="10"/>
        <rFont val="Arial"/>
        <family val="2"/>
      </rPr>
      <t xml:space="preserve"> – Tax shield NPV</t>
    </r>
  </si>
  <si>
    <r>
      <t xml:space="preserve">(B) </t>
    </r>
    <r>
      <rPr>
        <sz val="10"/>
        <color rgb="FF0070C0"/>
        <rFont val="Cambria"/>
        <family val="1"/>
      </rPr>
      <t>NPV</t>
    </r>
    <r>
      <rPr>
        <i/>
        <vertAlign val="superscript"/>
        <sz val="10"/>
        <color rgb="FF0070C0"/>
        <rFont val="Cambria"/>
        <family val="1"/>
      </rPr>
      <t>e</t>
    </r>
    <r>
      <rPr>
        <sz val="10"/>
        <color rgb="FF0070C0"/>
        <rFont val="Cambria"/>
        <family val="1"/>
      </rPr>
      <t xml:space="preserve"> = Σ</t>
    </r>
    <r>
      <rPr>
        <i/>
        <sz val="10"/>
        <color rgb="FF0070C0"/>
        <rFont val="Cambria"/>
        <family val="1"/>
      </rPr>
      <t>C</t>
    </r>
    <r>
      <rPr>
        <i/>
        <vertAlign val="superscript"/>
        <sz val="10"/>
        <color rgb="FF0070C0"/>
        <rFont val="Cambria"/>
        <family val="1"/>
      </rPr>
      <t>e</t>
    </r>
    <r>
      <rPr>
        <sz val="10"/>
        <color rgb="FF0070C0"/>
        <rFont val="Cambria"/>
        <family val="1"/>
      </rPr>
      <t xml:space="preserve"> ∙ (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e</t>
    </r>
    <r>
      <rPr>
        <sz val="10"/>
        <color rgb="FF0070C0"/>
        <rFont val="Cambria"/>
        <family val="1"/>
      </rPr>
      <t xml:space="preserve">– </t>
    </r>
    <r>
      <rPr>
        <i/>
        <sz val="10"/>
        <color rgb="FF0070C0"/>
        <rFont val="Cambria"/>
        <family val="1"/>
      </rPr>
      <t>ρ</t>
    </r>
    <r>
      <rPr>
        <i/>
        <vertAlign val="superscript"/>
        <sz val="10"/>
        <color rgb="FF0070C0"/>
        <rFont val="Cambria"/>
        <family val="1"/>
      </rPr>
      <t>e</t>
    </r>
    <r>
      <rPr>
        <sz val="10"/>
        <color rgb="FF0070C0"/>
        <rFont val="Cambria"/>
        <family val="1"/>
      </rPr>
      <t xml:space="preserve"> )</t>
    </r>
  </si>
  <si>
    <r>
      <rPr>
        <b/>
        <i/>
        <sz val="10"/>
        <color theme="1" tint="0.499984740745262"/>
        <rFont val="Cambria"/>
        <family val="1"/>
      </rPr>
      <t>r</t>
    </r>
    <r>
      <rPr>
        <b/>
        <i/>
        <vertAlign val="superscript"/>
        <sz val="10"/>
        <color theme="1" tint="0.499984740745262"/>
        <rFont val="Cambria"/>
        <family val="1"/>
      </rPr>
      <t>e</t>
    </r>
  </si>
  <si>
    <r>
      <rPr>
        <b/>
        <sz val="10"/>
        <color rgb="FF0070C0"/>
        <rFont val="Arial"/>
        <family val="2"/>
      </rPr>
      <t xml:space="preserve">(B) </t>
    </r>
    <r>
      <rPr>
        <b/>
        <sz val="10"/>
        <color rgb="FF0070C0"/>
        <rFont val="Cambria"/>
        <family val="1"/>
      </rPr>
      <t>NPV</t>
    </r>
    <r>
      <rPr>
        <b/>
        <i/>
        <vertAlign val="superscript"/>
        <sz val="10"/>
        <color rgb="FF0070C0"/>
        <rFont val="Cambria"/>
        <family val="1"/>
      </rPr>
      <t>o</t>
    </r>
    <r>
      <rPr>
        <sz val="10"/>
        <color rgb="FF0070C0"/>
        <rFont val="Cambria"/>
        <family val="1"/>
      </rPr>
      <t xml:space="preserve"> = Σ</t>
    </r>
    <r>
      <rPr>
        <i/>
        <sz val="10"/>
        <color rgb="FF0070C0"/>
        <rFont val="Cambria"/>
        <family val="1"/>
      </rPr>
      <t>C</t>
    </r>
    <r>
      <rPr>
        <i/>
        <vertAlign val="superscript"/>
        <sz val="10"/>
        <color rgb="FF0070C0"/>
        <rFont val="Cambria"/>
        <family val="1"/>
      </rPr>
      <t>o</t>
    </r>
    <r>
      <rPr>
        <sz val="10"/>
        <color rgb="FF0070C0"/>
        <rFont val="Cambria"/>
        <family val="1"/>
      </rPr>
      <t xml:space="preserve"> ∙ (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o</t>
    </r>
    <r>
      <rPr>
        <sz val="10"/>
        <color rgb="FF0070C0"/>
        <rFont val="Cambria"/>
        <family val="1"/>
      </rPr>
      <t xml:space="preserve">– </t>
    </r>
    <r>
      <rPr>
        <i/>
        <sz val="10"/>
        <color rgb="FF0070C0"/>
        <rFont val="Cambria"/>
        <family val="1"/>
      </rPr>
      <t>ρ</t>
    </r>
    <r>
      <rPr>
        <i/>
        <vertAlign val="superscript"/>
        <sz val="10"/>
        <color rgb="FF0070C0"/>
        <rFont val="Cambria"/>
        <family val="1"/>
      </rPr>
      <t>o</t>
    </r>
    <r>
      <rPr>
        <sz val="10"/>
        <color rgb="FF0070C0"/>
        <rFont val="Cambria"/>
        <family val="1"/>
      </rPr>
      <t xml:space="preserve"> )</t>
    </r>
  </si>
  <si>
    <r>
      <rPr>
        <b/>
        <sz val="10"/>
        <color rgb="FF0070C0"/>
        <rFont val="Arial"/>
        <family val="2"/>
      </rPr>
      <t xml:space="preserve">(B) </t>
    </r>
    <r>
      <rPr>
        <b/>
        <sz val="10"/>
        <color rgb="FF0070C0"/>
        <rFont val="Cambria"/>
        <family val="1"/>
      </rPr>
      <t>NPV</t>
    </r>
    <r>
      <rPr>
        <b/>
        <i/>
        <vertAlign val="superscript"/>
        <sz val="10"/>
        <color rgb="FF0070C0"/>
        <rFont val="Cambria"/>
        <family val="1"/>
      </rPr>
      <t>e</t>
    </r>
    <r>
      <rPr>
        <sz val="10"/>
        <color rgb="FF0070C0"/>
        <rFont val="Cambria"/>
        <family val="1"/>
      </rPr>
      <t xml:space="preserve"> = Σ</t>
    </r>
    <r>
      <rPr>
        <i/>
        <sz val="10"/>
        <color rgb="FF0070C0"/>
        <rFont val="Cambria"/>
        <family val="1"/>
      </rPr>
      <t>C</t>
    </r>
    <r>
      <rPr>
        <i/>
        <vertAlign val="superscript"/>
        <sz val="10"/>
        <color rgb="FF0070C0"/>
        <rFont val="Cambria"/>
        <family val="1"/>
      </rPr>
      <t>e</t>
    </r>
    <r>
      <rPr>
        <sz val="10"/>
        <color rgb="FF0070C0"/>
        <rFont val="Cambria"/>
        <family val="1"/>
      </rPr>
      <t xml:space="preserve"> ∙ (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e</t>
    </r>
    <r>
      <rPr>
        <sz val="10"/>
        <color rgb="FF0070C0"/>
        <rFont val="Cambria"/>
        <family val="1"/>
      </rPr>
      <t xml:space="preserve">– </t>
    </r>
    <r>
      <rPr>
        <i/>
        <sz val="10"/>
        <color rgb="FF0070C0"/>
        <rFont val="Cambria"/>
        <family val="1"/>
      </rPr>
      <t>ρ</t>
    </r>
    <r>
      <rPr>
        <i/>
        <vertAlign val="superscript"/>
        <sz val="10"/>
        <color rgb="FF0070C0"/>
        <rFont val="Cambria"/>
        <family val="1"/>
      </rPr>
      <t>e</t>
    </r>
    <r>
      <rPr>
        <sz val="10"/>
        <color rgb="FF0070C0"/>
        <rFont val="Cambria"/>
        <family val="1"/>
      </rPr>
      <t xml:space="preserve"> )</t>
    </r>
  </si>
  <si>
    <r>
      <rPr>
        <b/>
        <sz val="10"/>
        <color theme="1"/>
        <rFont val="Arial"/>
        <family val="2"/>
      </rPr>
      <t xml:space="preserve">(B) </t>
    </r>
    <r>
      <rPr>
        <b/>
        <sz val="10"/>
        <color theme="1"/>
        <rFont val="Cambria"/>
        <family val="1"/>
      </rPr>
      <t>FCFE</t>
    </r>
    <r>
      <rPr>
        <b/>
        <vertAlign val="subscript"/>
        <sz val="10"/>
        <color theme="1"/>
        <rFont val="Cambria"/>
        <family val="1"/>
      </rPr>
      <t>5</t>
    </r>
    <r>
      <rPr>
        <b/>
        <sz val="10"/>
        <color theme="1"/>
        <rFont val="Cambria"/>
        <family val="1"/>
      </rPr>
      <t xml:space="preserve"> + </t>
    </r>
    <r>
      <rPr>
        <b/>
        <i/>
        <sz val="10"/>
        <color theme="1"/>
        <rFont val="Cambria"/>
        <family val="1"/>
      </rPr>
      <t>F</t>
    </r>
    <r>
      <rPr>
        <b/>
        <i/>
        <vertAlign val="superscript"/>
        <sz val="10"/>
        <color theme="1"/>
        <rFont val="Cambria"/>
        <family val="1"/>
      </rPr>
      <t>l</t>
    </r>
    <r>
      <rPr>
        <b/>
        <vertAlign val="subscript"/>
        <sz val="10"/>
        <color theme="1"/>
        <rFont val="Cambria"/>
        <family val="1"/>
      </rPr>
      <t>5</t>
    </r>
  </si>
  <si>
    <r>
      <rPr>
        <b/>
        <sz val="10"/>
        <color theme="1"/>
        <rFont val="Arial"/>
        <family val="2"/>
      </rPr>
      <t xml:space="preserve">(A) </t>
    </r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e</t>
    </r>
    <r>
      <rPr>
        <b/>
        <vertAlign val="subscript"/>
        <sz val="10"/>
        <color theme="1"/>
        <rFont val="Cambria"/>
        <family val="1"/>
      </rPr>
      <t>4</t>
    </r>
    <r>
      <rPr>
        <b/>
        <sz val="10"/>
        <color theme="1"/>
        <rFont val="Cambria"/>
        <family val="1"/>
      </rPr>
      <t xml:space="preserve"> + </t>
    </r>
    <r>
      <rPr>
        <b/>
        <i/>
        <sz val="10"/>
        <color theme="1"/>
        <rFont val="Cambria"/>
        <family val="1"/>
      </rPr>
      <t>I</t>
    </r>
    <r>
      <rPr>
        <b/>
        <i/>
        <vertAlign val="superscript"/>
        <sz val="10"/>
        <color theme="1"/>
        <rFont val="Cambria"/>
        <family val="1"/>
      </rPr>
      <t>e</t>
    </r>
    <r>
      <rPr>
        <b/>
        <vertAlign val="subscript"/>
        <sz val="10"/>
        <color theme="1"/>
        <rFont val="Cambria"/>
        <family val="1"/>
      </rPr>
      <t>5</t>
    </r>
  </si>
  <si>
    <r>
      <rPr>
        <b/>
        <sz val="10"/>
        <color theme="1"/>
        <rFont val="Arial"/>
        <family val="2"/>
      </rPr>
      <t xml:space="preserve">(A) </t>
    </r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l</t>
    </r>
    <r>
      <rPr>
        <b/>
        <vertAlign val="subscript"/>
        <sz val="10"/>
        <color theme="1"/>
        <rFont val="Cambria"/>
        <family val="1"/>
      </rPr>
      <t>4</t>
    </r>
    <r>
      <rPr>
        <b/>
        <sz val="10"/>
        <color theme="1"/>
        <rFont val="Cambria"/>
        <family val="1"/>
      </rPr>
      <t xml:space="preserve"> + </t>
    </r>
    <r>
      <rPr>
        <b/>
        <i/>
        <sz val="10"/>
        <color theme="1"/>
        <rFont val="Cambria"/>
        <family val="1"/>
      </rPr>
      <t>I</t>
    </r>
    <r>
      <rPr>
        <b/>
        <i/>
        <vertAlign val="superscript"/>
        <sz val="10"/>
        <color theme="1"/>
        <rFont val="Cambria"/>
        <family val="1"/>
      </rPr>
      <t>l</t>
    </r>
    <r>
      <rPr>
        <b/>
        <vertAlign val="subscript"/>
        <sz val="10"/>
        <color theme="1"/>
        <rFont val="Cambria"/>
        <family val="1"/>
      </rPr>
      <t>5</t>
    </r>
  </si>
  <si>
    <r>
      <rPr>
        <b/>
        <sz val="10"/>
        <color theme="1"/>
        <rFont val="Arial"/>
        <family val="2"/>
      </rPr>
      <t xml:space="preserve">(B) </t>
    </r>
    <r>
      <rPr>
        <b/>
        <i/>
        <sz val="10"/>
        <color theme="1"/>
        <rFont val="Cambria"/>
        <family val="1"/>
      </rPr>
      <t>F</t>
    </r>
    <r>
      <rPr>
        <b/>
        <i/>
        <vertAlign val="superscript"/>
        <sz val="10"/>
        <color theme="1"/>
        <rFont val="Cambria"/>
        <family val="1"/>
      </rPr>
      <t>e</t>
    </r>
    <r>
      <rPr>
        <b/>
        <vertAlign val="subscript"/>
        <sz val="10"/>
        <color theme="1"/>
        <rFont val="Cambria"/>
        <family val="1"/>
      </rPr>
      <t>5</t>
    </r>
    <r>
      <rPr>
        <b/>
        <sz val="10"/>
        <color theme="1"/>
        <rFont val="Cambria"/>
        <family val="1"/>
      </rPr>
      <t xml:space="preserve"> – FCFE</t>
    </r>
    <r>
      <rPr>
        <b/>
        <vertAlign val="subscript"/>
        <sz val="10"/>
        <color theme="1"/>
        <rFont val="Cambria"/>
        <family val="1"/>
      </rPr>
      <t>5</t>
    </r>
  </si>
  <si>
    <r>
      <rPr>
        <b/>
        <sz val="10"/>
        <color theme="1"/>
        <rFont val="Arial"/>
        <family val="2"/>
      </rPr>
      <t xml:space="preserve">(A) </t>
    </r>
    <r>
      <rPr>
        <b/>
        <sz val="10"/>
        <color theme="1"/>
        <rFont val="Cambria"/>
        <family val="1"/>
      </rPr>
      <t>ROA</t>
    </r>
    <r>
      <rPr>
        <b/>
        <vertAlign val="subscript"/>
        <sz val="10"/>
        <color theme="1"/>
        <rFont val="Cambria"/>
        <family val="1"/>
      </rPr>
      <t>i</t>
    </r>
    <r>
      <rPr>
        <b/>
        <sz val="10"/>
        <color theme="1"/>
        <rFont val="Cambria"/>
        <family val="1"/>
      </rPr>
      <t xml:space="preserve"> </t>
    </r>
    <r>
      <rPr>
        <sz val="10"/>
        <color theme="1"/>
        <rFont val="Cambria"/>
        <family val="1"/>
      </rPr>
      <t>= ( C</t>
    </r>
    <r>
      <rPr>
        <vertAlign val="superscript"/>
        <sz val="10"/>
        <color theme="1"/>
        <rFont val="Cambria"/>
        <family val="1"/>
      </rPr>
      <t>inv</t>
    </r>
    <r>
      <rPr>
        <vertAlign val="subscript"/>
        <sz val="10"/>
        <color theme="1"/>
        <rFont val="Cambria"/>
        <family val="1"/>
      </rPr>
      <t>i</t>
    </r>
    <r>
      <rPr>
        <sz val="10"/>
        <color theme="1"/>
        <rFont val="Cambria"/>
        <family val="1"/>
      </rPr>
      <t xml:space="preserve"> + F</t>
    </r>
    <r>
      <rPr>
        <vertAlign val="superscript"/>
        <sz val="10"/>
        <color theme="1"/>
        <rFont val="Cambria"/>
        <family val="1"/>
      </rPr>
      <t>inv</t>
    </r>
    <r>
      <rPr>
        <vertAlign val="subscript"/>
        <sz val="10"/>
        <color theme="1"/>
        <rFont val="Cambria"/>
        <family val="1"/>
      </rPr>
      <t>i</t>
    </r>
    <r>
      <rPr>
        <sz val="10"/>
        <color theme="1"/>
        <rFont val="Cambria"/>
        <family val="1"/>
      </rPr>
      <t xml:space="preserve"> – C</t>
    </r>
    <r>
      <rPr>
        <vertAlign val="superscript"/>
        <sz val="10"/>
        <color theme="1"/>
        <rFont val="Cambria"/>
        <family val="1"/>
      </rPr>
      <t>inv</t>
    </r>
    <r>
      <rPr>
        <vertAlign val="subscript"/>
        <sz val="10"/>
        <color theme="1"/>
        <rFont val="Cambria"/>
        <family val="1"/>
      </rPr>
      <t>i–1</t>
    </r>
    <r>
      <rPr>
        <sz val="10"/>
        <color theme="1"/>
        <rFont val="Cambria"/>
        <family val="1"/>
      </rPr>
      <t xml:space="preserve"> ) / C</t>
    </r>
    <r>
      <rPr>
        <vertAlign val="superscript"/>
        <sz val="10"/>
        <color theme="1"/>
        <rFont val="Cambria"/>
        <family val="1"/>
      </rPr>
      <t>inv</t>
    </r>
    <r>
      <rPr>
        <vertAlign val="subscript"/>
        <sz val="10"/>
        <color theme="1"/>
        <rFont val="Cambria"/>
        <family val="1"/>
      </rPr>
      <t>i–1</t>
    </r>
  </si>
  <si>
    <r>
      <rPr>
        <b/>
        <sz val="10"/>
        <color theme="1"/>
        <rFont val="Arial"/>
        <family val="2"/>
      </rPr>
      <t xml:space="preserve">(B) </t>
    </r>
    <r>
      <rPr>
        <b/>
        <sz val="10"/>
        <color theme="1"/>
        <rFont val="Cambria"/>
        <family val="1"/>
      </rPr>
      <t>ROA</t>
    </r>
    <r>
      <rPr>
        <b/>
        <vertAlign val="subscript"/>
        <sz val="10"/>
        <color theme="1"/>
        <rFont val="Cambria"/>
        <family val="1"/>
      </rPr>
      <t>i</t>
    </r>
    <r>
      <rPr>
        <sz val="10"/>
        <color theme="1"/>
        <rFont val="Cambria"/>
        <family val="1"/>
      </rPr>
      <t xml:space="preserve"> = ( ROI</t>
    </r>
    <r>
      <rPr>
        <vertAlign val="subscript"/>
        <sz val="10"/>
        <color theme="1"/>
        <rFont val="Cambria"/>
        <family val="1"/>
      </rPr>
      <t>i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C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i–1</t>
    </r>
    <r>
      <rPr>
        <sz val="10"/>
        <color theme="1"/>
        <rFont val="Cambria"/>
        <family val="1"/>
      </rPr>
      <t xml:space="preserve"> + ROL</t>
    </r>
    <r>
      <rPr>
        <vertAlign val="subscript"/>
        <sz val="10"/>
        <color theme="1"/>
        <rFont val="Cambria"/>
        <family val="1"/>
      </rPr>
      <t>i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C</t>
    </r>
    <r>
      <rPr>
        <i/>
        <vertAlign val="superscript"/>
        <sz val="10"/>
        <color theme="1"/>
        <rFont val="Cambria"/>
        <family val="1"/>
      </rPr>
      <t>l</t>
    </r>
    <r>
      <rPr>
        <vertAlign val="subscript"/>
        <sz val="10"/>
        <color theme="1"/>
        <rFont val="Cambria"/>
        <family val="1"/>
      </rPr>
      <t>i–1</t>
    </r>
    <r>
      <rPr>
        <sz val="10"/>
        <color theme="1"/>
        <rFont val="Cambria"/>
        <family val="1"/>
      </rPr>
      <t xml:space="preserve"> ) / ( </t>
    </r>
    <r>
      <rPr>
        <i/>
        <sz val="10"/>
        <color theme="1"/>
        <rFont val="Cambria"/>
        <family val="1"/>
      </rPr>
      <t>C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i–1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C</t>
    </r>
    <r>
      <rPr>
        <i/>
        <vertAlign val="superscript"/>
        <sz val="10"/>
        <color theme="1"/>
        <rFont val="Cambria"/>
        <family val="1"/>
      </rPr>
      <t>l</t>
    </r>
    <r>
      <rPr>
        <vertAlign val="subscript"/>
        <sz val="10"/>
        <color theme="1"/>
        <rFont val="Cambria"/>
        <family val="1"/>
      </rPr>
      <t>i–1</t>
    </r>
    <r>
      <rPr>
        <sz val="10"/>
        <color theme="1"/>
        <rFont val="Cambria"/>
        <family val="1"/>
      </rPr>
      <t xml:space="preserve"> )</t>
    </r>
  </si>
  <si>
    <r>
      <rPr>
        <b/>
        <sz val="10"/>
        <color theme="1"/>
        <rFont val="Arial"/>
        <family val="2"/>
      </rPr>
      <t xml:space="preserve">(C) </t>
    </r>
    <r>
      <rPr>
        <b/>
        <sz val="10"/>
        <color theme="1"/>
        <rFont val="Cambria"/>
        <family val="1"/>
      </rPr>
      <t>ROA</t>
    </r>
    <r>
      <rPr>
        <b/>
        <vertAlign val="subscript"/>
        <sz val="10"/>
        <color theme="1"/>
        <rFont val="Cambria"/>
        <family val="1"/>
      </rPr>
      <t>i</t>
    </r>
    <r>
      <rPr>
        <sz val="10"/>
        <color theme="1"/>
        <rFont val="Cambria"/>
        <family val="1"/>
      </rPr>
      <t xml:space="preserve"> = ( ROD</t>
    </r>
    <r>
      <rPr>
        <vertAlign val="subscript"/>
        <sz val="10"/>
        <color theme="1"/>
        <rFont val="Cambria"/>
        <family val="1"/>
      </rPr>
      <t>i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C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i–1</t>
    </r>
    <r>
      <rPr>
        <sz val="10"/>
        <color theme="1"/>
        <rFont val="Cambria"/>
        <family val="1"/>
      </rPr>
      <t xml:space="preserve"> + ROE</t>
    </r>
    <r>
      <rPr>
        <vertAlign val="subscript"/>
        <sz val="10"/>
        <color theme="1"/>
        <rFont val="Cambria"/>
        <family val="1"/>
      </rPr>
      <t>i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C</t>
    </r>
    <r>
      <rPr>
        <i/>
        <vertAlign val="superscript"/>
        <sz val="10"/>
        <color theme="1"/>
        <rFont val="Cambria"/>
        <family val="1"/>
      </rPr>
      <t>e</t>
    </r>
    <r>
      <rPr>
        <vertAlign val="subscript"/>
        <sz val="10"/>
        <color theme="1"/>
        <rFont val="Cambria"/>
        <family val="1"/>
      </rPr>
      <t>i–1</t>
    </r>
    <r>
      <rPr>
        <sz val="10"/>
        <color theme="1"/>
        <rFont val="Cambria"/>
        <family val="1"/>
      </rPr>
      <t xml:space="preserve"> ) / ( </t>
    </r>
    <r>
      <rPr>
        <i/>
        <sz val="10"/>
        <color theme="1"/>
        <rFont val="Cambria"/>
        <family val="1"/>
      </rPr>
      <t>C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i–1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C</t>
    </r>
    <r>
      <rPr>
        <i/>
        <vertAlign val="superscript"/>
        <sz val="10"/>
        <color theme="1"/>
        <rFont val="Cambria"/>
        <family val="1"/>
      </rPr>
      <t>e</t>
    </r>
    <r>
      <rPr>
        <vertAlign val="subscript"/>
        <sz val="10"/>
        <color theme="1"/>
        <rFont val="Cambria"/>
        <family val="1"/>
      </rPr>
      <t>i–1</t>
    </r>
    <r>
      <rPr>
        <sz val="10"/>
        <color theme="1"/>
        <rFont val="Cambria"/>
        <family val="1"/>
      </rPr>
      <t xml:space="preserve"> )</t>
    </r>
  </si>
  <si>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o</t>
    </r>
    <r>
      <rPr>
        <sz val="10"/>
        <color theme="1"/>
        <rFont val="Cambria"/>
        <family val="1"/>
      </rPr>
      <t xml:space="preserve"> </t>
    </r>
    <r>
      <rPr>
        <sz val="10"/>
        <color theme="1"/>
        <rFont val="Arial"/>
        <family val="2"/>
      </rPr>
      <t>forward</t>
    </r>
  </si>
  <si>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o</t>
    </r>
    <r>
      <rPr>
        <sz val="10"/>
        <color theme="1"/>
        <rFont val="Cambria"/>
        <family val="1"/>
      </rPr>
      <t xml:space="preserve"> </t>
    </r>
    <r>
      <rPr>
        <sz val="10"/>
        <color theme="1"/>
        <rFont val="Arial"/>
        <family val="2"/>
      </rPr>
      <t>backward</t>
    </r>
  </si>
  <si>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l</t>
    </r>
    <r>
      <rPr>
        <sz val="10"/>
        <color theme="1"/>
        <rFont val="Cambria"/>
        <family val="1"/>
      </rPr>
      <t xml:space="preserve"> </t>
    </r>
    <r>
      <rPr>
        <sz val="10"/>
        <color theme="1"/>
        <rFont val="Arial"/>
        <family val="2"/>
      </rPr>
      <t>forward</t>
    </r>
  </si>
  <si>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l</t>
    </r>
    <r>
      <rPr>
        <b/>
        <sz val="10"/>
        <color theme="1"/>
        <rFont val="Cambria"/>
        <family val="1"/>
      </rPr>
      <t xml:space="preserve"> </t>
    </r>
    <r>
      <rPr>
        <sz val="10"/>
        <color theme="1"/>
        <rFont val="Arial"/>
        <family val="2"/>
      </rPr>
      <t>backward</t>
    </r>
  </si>
  <si>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d</t>
    </r>
    <r>
      <rPr>
        <b/>
        <sz val="10"/>
        <color theme="1"/>
        <rFont val="Cambria"/>
        <family val="1"/>
      </rPr>
      <t xml:space="preserve"> </t>
    </r>
    <r>
      <rPr>
        <sz val="10"/>
        <color theme="1"/>
        <rFont val="Arial"/>
        <family val="2"/>
      </rPr>
      <t>forward</t>
    </r>
  </si>
  <si>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d</t>
    </r>
    <r>
      <rPr>
        <sz val="10"/>
        <color theme="1"/>
        <rFont val="Cambria"/>
        <family val="1"/>
      </rPr>
      <t xml:space="preserve"> </t>
    </r>
    <r>
      <rPr>
        <sz val="10"/>
        <color theme="1"/>
        <rFont val="Arial"/>
        <family val="2"/>
      </rPr>
      <t>backward</t>
    </r>
  </si>
  <si>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e</t>
    </r>
    <r>
      <rPr>
        <sz val="10"/>
        <color theme="1"/>
        <rFont val="Cambria"/>
        <family val="1"/>
      </rPr>
      <t xml:space="preserve"> </t>
    </r>
    <r>
      <rPr>
        <sz val="10"/>
        <color theme="1"/>
        <rFont val="Arial"/>
        <family val="2"/>
      </rPr>
      <t>forward</t>
    </r>
  </si>
  <si>
    <r>
      <rPr>
        <b/>
        <i/>
        <sz val="10"/>
        <color theme="1"/>
        <rFont val="Cambria"/>
        <family val="1"/>
      </rPr>
      <t>C</t>
    </r>
    <r>
      <rPr>
        <b/>
        <i/>
        <vertAlign val="superscript"/>
        <sz val="10"/>
        <color theme="1"/>
        <rFont val="Cambria"/>
        <family val="1"/>
      </rPr>
      <t>e</t>
    </r>
    <r>
      <rPr>
        <sz val="10"/>
        <color theme="1"/>
        <rFont val="Cambria"/>
        <family val="1"/>
      </rPr>
      <t xml:space="preserve"> </t>
    </r>
    <r>
      <rPr>
        <sz val="10"/>
        <color theme="1"/>
        <rFont val="Arial"/>
        <family val="2"/>
      </rPr>
      <t>backward</t>
    </r>
  </si>
  <si>
    <t xml:space="preserve">Baschieri D, Magni CA 2023. The split-screen approach for project appraisal (Part II: spreadsheet modeling). Journal of Risk and Financial Management, Special Issue “Advances in Engineering Economics”, 16(3), 155, 1-67. </t>
  </si>
  <si>
    <t>https://www.mdpi.com/1911-8074/16/3/157</t>
  </si>
  <si>
    <t>Excel file by Davide Baschieri and Carlo Alberto Magni (July 2025)</t>
  </si>
  <si>
    <r>
      <t>V</t>
    </r>
    <r>
      <rPr>
        <b/>
        <vertAlign val="subscript"/>
        <sz val="10"/>
        <color rgb="FF0070C0"/>
        <rFont val="Arial Black"/>
        <family val="2"/>
      </rPr>
      <t>0</t>
    </r>
  </si>
  <si>
    <r>
      <t>V</t>
    </r>
    <r>
      <rPr>
        <b/>
        <vertAlign val="subscript"/>
        <sz val="10"/>
        <color rgb="FF0070C0"/>
        <rFont val="Arial Black"/>
        <family val="2"/>
      </rPr>
      <t>1</t>
    </r>
    <r>
      <rPr>
        <sz val="10"/>
        <color theme="1"/>
        <rFont val="Arial"/>
        <family val="2"/>
      </rPr>
      <t/>
    </r>
  </si>
  <si>
    <r>
      <t>V</t>
    </r>
    <r>
      <rPr>
        <b/>
        <vertAlign val="subscript"/>
        <sz val="10"/>
        <color rgb="FF0070C0"/>
        <rFont val="Arial Black"/>
        <family val="2"/>
      </rPr>
      <t>2</t>
    </r>
    <r>
      <rPr>
        <sz val="10"/>
        <color theme="1"/>
        <rFont val="Arial"/>
        <family val="2"/>
      </rPr>
      <t/>
    </r>
  </si>
  <si>
    <r>
      <t>V</t>
    </r>
    <r>
      <rPr>
        <b/>
        <vertAlign val="subscript"/>
        <sz val="10"/>
        <color rgb="FF0070C0"/>
        <rFont val="Arial Black"/>
        <family val="2"/>
      </rPr>
      <t>3</t>
    </r>
    <r>
      <rPr>
        <sz val="10"/>
        <color theme="1"/>
        <rFont val="Arial"/>
        <family val="2"/>
      </rPr>
      <t/>
    </r>
  </si>
  <si>
    <r>
      <t>V</t>
    </r>
    <r>
      <rPr>
        <b/>
        <vertAlign val="subscript"/>
        <sz val="10"/>
        <color rgb="FF0070C0"/>
        <rFont val="Arial Black"/>
        <family val="2"/>
      </rPr>
      <t>4</t>
    </r>
    <r>
      <rPr>
        <sz val="10"/>
        <color theme="1"/>
        <rFont val="Arial"/>
        <family val="2"/>
      </rPr>
      <t/>
    </r>
  </si>
  <si>
    <r>
      <t>V</t>
    </r>
    <r>
      <rPr>
        <b/>
        <vertAlign val="subscript"/>
        <sz val="10"/>
        <color rgb="FF0070C0"/>
        <rFont val="Arial Black"/>
        <family val="2"/>
      </rPr>
      <t>5</t>
    </r>
    <r>
      <rPr>
        <sz val="10"/>
        <color theme="1"/>
        <rFont val="Arial"/>
        <family val="2"/>
      </rPr>
      <t/>
    </r>
  </si>
  <si>
    <r>
      <t>Σ V</t>
    </r>
    <r>
      <rPr>
        <b/>
        <vertAlign val="subscript"/>
        <sz val="10"/>
        <color rgb="FF0070C0"/>
        <rFont val="Arial"/>
        <family val="2"/>
      </rPr>
      <t>t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</si>
  <si>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V</t>
    </r>
    <r>
      <rPr>
        <i/>
        <vertAlign val="superscript"/>
        <sz val="10"/>
        <color rgb="FF0070C0"/>
        <rFont val="Cambria"/>
        <family val="1"/>
      </rPr>
      <t>o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</si>
  <si>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V</t>
    </r>
    <r>
      <rPr>
        <i/>
        <vertAlign val="superscript"/>
        <sz val="10"/>
        <color rgb="FF0070C0"/>
        <rFont val="Cambria"/>
        <family val="1"/>
      </rPr>
      <t>l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</si>
  <si>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V</t>
    </r>
    <r>
      <rPr>
        <vertAlign val="superscript"/>
        <sz val="10"/>
        <color rgb="FF0070C0"/>
        <rFont val="Cambria"/>
        <family val="1"/>
      </rPr>
      <t>inv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</si>
  <si>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V</t>
    </r>
    <r>
      <rPr>
        <i/>
        <vertAlign val="superscript"/>
        <sz val="10"/>
        <color rgb="FF0070C0"/>
        <rFont val="Cambria"/>
        <family val="1"/>
      </rPr>
      <t>d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</si>
  <si>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V</t>
    </r>
    <r>
      <rPr>
        <i/>
        <vertAlign val="superscript"/>
        <sz val="10"/>
        <color rgb="FF0070C0"/>
        <rFont val="Cambria"/>
        <family val="1"/>
      </rPr>
      <t>e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</si>
  <si>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V</t>
    </r>
    <r>
      <rPr>
        <vertAlign val="superscript"/>
        <sz val="10"/>
        <color rgb="FF0070C0"/>
        <rFont val="Cambria"/>
        <family val="1"/>
      </rPr>
      <t>fin</t>
    </r>
  </si>
  <si>
    <r>
      <t>I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0</t>
    </r>
  </si>
  <si>
    <r>
      <t>I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1</t>
    </r>
  </si>
  <si>
    <r>
      <t>I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2</t>
    </r>
  </si>
  <si>
    <r>
      <t>I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3</t>
    </r>
  </si>
  <si>
    <r>
      <t>I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4</t>
    </r>
  </si>
  <si>
    <r>
      <t>I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5</t>
    </r>
  </si>
  <si>
    <r>
      <t>Σ I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"/>
        <family val="2"/>
      </rPr>
      <t>t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</si>
  <si>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Vo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</si>
  <si>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Vl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</si>
  <si>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V</t>
    </r>
    <r>
      <rPr>
        <vertAlign val="superscript"/>
        <sz val="10"/>
        <color rgb="FF0070C0"/>
        <rFont val="Cambria"/>
        <family val="1"/>
      </rPr>
      <t>inv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</si>
  <si>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Vd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</si>
  <si>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Ve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</si>
  <si>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V</t>
    </r>
    <r>
      <rPr>
        <vertAlign val="superscript"/>
        <sz val="10"/>
        <color rgb="FF0070C0"/>
        <rFont val="Cambria"/>
        <family val="1"/>
      </rPr>
      <t>fin</t>
    </r>
  </si>
  <si>
    <r>
      <t>F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0</t>
    </r>
  </si>
  <si>
    <r>
      <t>F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1</t>
    </r>
  </si>
  <si>
    <r>
      <t>F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2</t>
    </r>
  </si>
  <si>
    <r>
      <t>F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3</t>
    </r>
  </si>
  <si>
    <r>
      <t>F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4</t>
    </r>
  </si>
  <si>
    <r>
      <t>F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 Black"/>
        <family val="2"/>
      </rPr>
      <t>5</t>
    </r>
  </si>
  <si>
    <r>
      <t>Σ F</t>
    </r>
    <r>
      <rPr>
        <b/>
        <vertAlign val="superscript"/>
        <sz val="10"/>
        <color rgb="FF0070C0"/>
        <rFont val="Arial Black"/>
        <family val="2"/>
      </rPr>
      <t>V</t>
    </r>
    <r>
      <rPr>
        <b/>
        <vertAlign val="subscript"/>
        <sz val="10"/>
        <color rgb="FF0070C0"/>
        <rFont val="Arial"/>
        <family val="2"/>
      </rPr>
      <t>t</t>
    </r>
  </si>
  <si>
    <r>
      <rPr>
        <sz val="10"/>
        <color rgb="FF0070C0"/>
        <rFont val="Cambria"/>
        <family val="1"/>
      </rPr>
      <t xml:space="preserve"> –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Vo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</si>
  <si>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Vo</t>
    </r>
  </si>
  <si>
    <r>
      <rPr>
        <sz val="10"/>
        <color rgb="FF0070C0"/>
        <rFont val="Cambria"/>
        <family val="1"/>
      </rPr>
      <t xml:space="preserve"> –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Vl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</si>
  <si>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Vl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</si>
  <si>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V</t>
    </r>
    <r>
      <rPr>
        <vertAlign val="superscript"/>
        <sz val="10"/>
        <color rgb="FF0070C0"/>
        <rFont val="Cambria"/>
        <family val="1"/>
      </rPr>
      <t>inv</t>
    </r>
  </si>
  <si>
    <r>
      <rPr>
        <sz val="10"/>
        <color rgb="FF0070C0"/>
        <rFont val="Cambria"/>
        <family val="1"/>
      </rPr>
      <t xml:space="preserve"> –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Vd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</si>
  <si>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Vd</t>
    </r>
  </si>
  <si>
    <r>
      <rPr>
        <sz val="10"/>
        <color rgb="FF0070C0"/>
        <rFont val="Cambria"/>
        <family val="1"/>
      </rPr>
      <t xml:space="preserve"> –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Ve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</si>
  <si>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Ve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</si>
  <si>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V</t>
    </r>
    <r>
      <rPr>
        <vertAlign val="superscript"/>
        <sz val="10"/>
        <color rgb="FF0070C0"/>
        <rFont val="Cambria"/>
        <family val="1"/>
      </rPr>
      <t>fin</t>
    </r>
  </si>
  <si>
    <r>
      <t>C</t>
    </r>
    <r>
      <rPr>
        <b/>
        <vertAlign val="subscript"/>
        <sz val="10"/>
        <color rgb="FF0070C0"/>
        <rFont val="Arial"/>
        <family val="2"/>
      </rPr>
      <t>0</t>
    </r>
  </si>
  <si>
    <r>
      <t>C</t>
    </r>
    <r>
      <rPr>
        <b/>
        <vertAlign val="subscript"/>
        <sz val="10"/>
        <color rgb="FF0070C0"/>
        <rFont val="Arial"/>
        <family val="2"/>
      </rPr>
      <t>1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</si>
  <si>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rgb="FF0070C0"/>
        <rFont val="Arial"/>
        <family val="2"/>
      </rPr>
      <t>2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</si>
  <si>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rgb="FF0070C0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</si>
  <si>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rgb="FF0070C0"/>
        <rFont val="Arial"/>
        <family val="2"/>
      </rPr>
      <t>4</t>
    </r>
    <r>
      <rPr>
        <sz val="11"/>
        <color theme="1"/>
        <rFont val="Calibri"/>
        <family val="2"/>
        <scheme val="minor"/>
      </rPr>
      <t/>
    </r>
  </si>
  <si>
    <r>
      <t>C</t>
    </r>
    <r>
      <rPr>
        <b/>
        <vertAlign val="subscript"/>
        <sz val="10"/>
        <color rgb="FF0070C0"/>
        <rFont val="Arial"/>
        <family val="2"/>
      </rPr>
      <t>5</t>
    </r>
    <r>
      <rPr>
        <sz val="11"/>
        <color theme="1"/>
        <rFont val="Calibri"/>
        <family val="2"/>
        <scheme val="minor"/>
      </rPr>
      <t/>
    </r>
  </si>
  <si>
    <r>
      <t>Σ C</t>
    </r>
    <r>
      <rPr>
        <b/>
        <vertAlign val="subscript"/>
        <sz val="10"/>
        <color rgb="FF0070C0"/>
        <rFont val="Arial"/>
        <family val="2"/>
      </rPr>
      <t>t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</si>
  <si>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C</t>
    </r>
    <r>
      <rPr>
        <i/>
        <vertAlign val="superscript"/>
        <sz val="10"/>
        <color rgb="FF0070C0"/>
        <rFont val="Cambria"/>
        <family val="1"/>
      </rPr>
      <t>o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</si>
  <si>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C</t>
    </r>
    <r>
      <rPr>
        <i/>
        <vertAlign val="superscript"/>
        <sz val="10"/>
        <color rgb="FF0070C0"/>
        <rFont val="Cambria"/>
        <family val="1"/>
      </rPr>
      <t>l</t>
    </r>
  </si>
  <si>
    <r>
      <rPr>
        <b/>
        <sz val="10"/>
        <color rgb="FF0070C0"/>
        <rFont val="Cambria"/>
        <family val="1"/>
      </rPr>
      <t xml:space="preserve"> + </t>
    </r>
    <r>
      <rPr>
        <b/>
        <i/>
        <sz val="10"/>
        <color rgb="FF0070C0"/>
        <rFont val="Cambria"/>
        <family val="1"/>
      </rPr>
      <t>C</t>
    </r>
    <r>
      <rPr>
        <b/>
        <vertAlign val="superscript"/>
        <sz val="10"/>
        <color rgb="FF0070C0"/>
        <rFont val="Cambria"/>
        <family val="1"/>
      </rPr>
      <t>inv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</si>
  <si>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C</t>
    </r>
    <r>
      <rPr>
        <i/>
        <vertAlign val="superscript"/>
        <sz val="10"/>
        <color rgb="FF0070C0"/>
        <rFont val="Cambria"/>
        <family val="1"/>
      </rPr>
      <t>d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</si>
  <si>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C</t>
    </r>
    <r>
      <rPr>
        <i/>
        <vertAlign val="superscript"/>
        <sz val="10"/>
        <color rgb="FF0070C0"/>
        <rFont val="Cambria"/>
        <family val="1"/>
      </rPr>
      <t>e</t>
    </r>
  </si>
  <si>
    <r>
      <t xml:space="preserve"> + </t>
    </r>
    <r>
      <rPr>
        <b/>
        <i/>
        <sz val="10"/>
        <color rgb="FF0070C0"/>
        <rFont val="Cambria"/>
        <family val="1"/>
      </rPr>
      <t>C</t>
    </r>
    <r>
      <rPr>
        <b/>
        <vertAlign val="superscript"/>
        <sz val="10"/>
        <color rgb="FF0070C0"/>
        <rFont val="Cambria"/>
        <family val="1"/>
      </rPr>
      <t>fin</t>
    </r>
  </si>
  <si>
    <r>
      <t>I</t>
    </r>
    <r>
      <rPr>
        <b/>
        <vertAlign val="subscript"/>
        <sz val="10"/>
        <color rgb="FF0070C0"/>
        <rFont val="Arial"/>
        <family val="2"/>
      </rPr>
      <t>0</t>
    </r>
  </si>
  <si>
    <r>
      <t>I</t>
    </r>
    <r>
      <rPr>
        <b/>
        <vertAlign val="subscript"/>
        <sz val="10"/>
        <color rgb="FF0070C0"/>
        <rFont val="Arial"/>
        <family val="2"/>
      </rPr>
      <t>1</t>
    </r>
  </si>
  <si>
    <r>
      <t>I</t>
    </r>
    <r>
      <rPr>
        <b/>
        <vertAlign val="subscript"/>
        <sz val="10"/>
        <color rgb="FF0070C0"/>
        <rFont val="Arial"/>
        <family val="2"/>
      </rPr>
      <t>2</t>
    </r>
  </si>
  <si>
    <r>
      <t>I</t>
    </r>
    <r>
      <rPr>
        <b/>
        <vertAlign val="subscript"/>
        <sz val="10"/>
        <color rgb="FF0070C0"/>
        <rFont val="Arial"/>
        <family val="2"/>
      </rPr>
      <t>3</t>
    </r>
  </si>
  <si>
    <r>
      <t>I</t>
    </r>
    <r>
      <rPr>
        <b/>
        <vertAlign val="subscript"/>
        <sz val="10"/>
        <color rgb="FF0070C0"/>
        <rFont val="Arial"/>
        <family val="2"/>
      </rPr>
      <t>4</t>
    </r>
  </si>
  <si>
    <r>
      <t>I</t>
    </r>
    <r>
      <rPr>
        <b/>
        <vertAlign val="subscript"/>
        <sz val="10"/>
        <color rgb="FF0070C0"/>
        <rFont val="Arial"/>
        <family val="2"/>
      </rPr>
      <t>5</t>
    </r>
  </si>
  <si>
    <r>
      <t>Σ I</t>
    </r>
    <r>
      <rPr>
        <b/>
        <vertAlign val="subscript"/>
        <sz val="10"/>
        <color rgb="FF0070C0"/>
        <rFont val="Arial"/>
        <family val="2"/>
      </rPr>
      <t>t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</si>
  <si>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o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</si>
  <si>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l</t>
    </r>
  </si>
  <si>
    <r>
      <rPr>
        <b/>
        <sz val="10"/>
        <color rgb="FF0070C0"/>
        <rFont val="Cambria"/>
        <family val="1"/>
      </rPr>
      <t xml:space="preserve"> + </t>
    </r>
    <r>
      <rPr>
        <b/>
        <i/>
        <sz val="10"/>
        <color rgb="FF0070C0"/>
        <rFont val="Cambria"/>
        <family val="1"/>
      </rPr>
      <t>I</t>
    </r>
    <r>
      <rPr>
        <b/>
        <vertAlign val="superscript"/>
        <sz val="10"/>
        <color rgb="FF0070C0"/>
        <rFont val="Cambria"/>
        <family val="1"/>
      </rPr>
      <t>inv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</si>
  <si>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d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</si>
  <si>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I</t>
    </r>
    <r>
      <rPr>
        <i/>
        <vertAlign val="superscript"/>
        <sz val="10"/>
        <color rgb="FF0070C0"/>
        <rFont val="Cambria"/>
        <family val="1"/>
      </rPr>
      <t>e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</si>
  <si>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I</t>
    </r>
    <r>
      <rPr>
        <vertAlign val="superscript"/>
        <sz val="10"/>
        <color rgb="FF0070C0"/>
        <rFont val="Cambria"/>
        <family val="1"/>
      </rPr>
      <t>e</t>
    </r>
  </si>
  <si>
    <r>
      <t xml:space="preserve"> + </t>
    </r>
    <r>
      <rPr>
        <b/>
        <i/>
        <sz val="10"/>
        <color rgb="FF0070C0"/>
        <rFont val="Cambria"/>
        <family val="1"/>
      </rPr>
      <t>I</t>
    </r>
    <r>
      <rPr>
        <b/>
        <vertAlign val="superscript"/>
        <sz val="10"/>
        <color rgb="FF0070C0"/>
        <rFont val="Cambria"/>
        <family val="1"/>
      </rPr>
      <t>fin</t>
    </r>
  </si>
  <si>
    <r>
      <t>F</t>
    </r>
    <r>
      <rPr>
        <b/>
        <vertAlign val="subscript"/>
        <sz val="10"/>
        <color rgb="FF0070C0"/>
        <rFont val="Arial"/>
        <family val="2"/>
      </rPr>
      <t>0</t>
    </r>
  </si>
  <si>
    <r>
      <t>F</t>
    </r>
    <r>
      <rPr>
        <b/>
        <vertAlign val="subscript"/>
        <sz val="10"/>
        <color rgb="FF0070C0"/>
        <rFont val="Arial"/>
        <family val="2"/>
      </rPr>
      <t>1</t>
    </r>
  </si>
  <si>
    <r>
      <t>F</t>
    </r>
    <r>
      <rPr>
        <b/>
        <vertAlign val="subscript"/>
        <sz val="10"/>
        <color rgb="FF0070C0"/>
        <rFont val="Arial"/>
        <family val="2"/>
      </rPr>
      <t>2</t>
    </r>
  </si>
  <si>
    <r>
      <t>F</t>
    </r>
    <r>
      <rPr>
        <b/>
        <vertAlign val="subscript"/>
        <sz val="10"/>
        <color rgb="FF0070C0"/>
        <rFont val="Arial"/>
        <family val="2"/>
      </rPr>
      <t>3</t>
    </r>
  </si>
  <si>
    <r>
      <t>F</t>
    </r>
    <r>
      <rPr>
        <b/>
        <vertAlign val="subscript"/>
        <sz val="10"/>
        <color rgb="FF0070C0"/>
        <rFont val="Arial"/>
        <family val="2"/>
      </rPr>
      <t>4</t>
    </r>
  </si>
  <si>
    <r>
      <t>F</t>
    </r>
    <r>
      <rPr>
        <b/>
        <vertAlign val="subscript"/>
        <sz val="10"/>
        <color rgb="FF0070C0"/>
        <rFont val="Arial"/>
        <family val="2"/>
      </rPr>
      <t>5</t>
    </r>
  </si>
  <si>
    <r>
      <t>Σ F</t>
    </r>
    <r>
      <rPr>
        <b/>
        <vertAlign val="subscript"/>
        <sz val="10"/>
        <color rgb="FF0070C0"/>
        <rFont val="Arial"/>
        <family val="2"/>
      </rPr>
      <t>t</t>
    </r>
  </si>
  <si>
    <r>
      <rPr>
        <sz val="10"/>
        <color rgb="FF0070C0"/>
        <rFont val="Cambria"/>
        <family val="1"/>
      </rPr>
      <t xml:space="preserve"> –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o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</si>
  <si>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o</t>
    </r>
  </si>
  <si>
    <r>
      <rPr>
        <sz val="10"/>
        <color rgb="FF0070C0"/>
        <rFont val="Cambria"/>
        <family val="1"/>
      </rPr>
      <t xml:space="preserve"> –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l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</si>
  <si>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l</t>
    </r>
  </si>
  <si>
    <r>
      <rPr>
        <b/>
        <sz val="10"/>
        <color rgb="FF0070C0"/>
        <rFont val="Cambria"/>
        <family val="1"/>
      </rPr>
      <t xml:space="preserve"> + </t>
    </r>
    <r>
      <rPr>
        <b/>
        <i/>
        <sz val="10"/>
        <color rgb="FF0070C0"/>
        <rFont val="Cambria"/>
        <family val="1"/>
      </rPr>
      <t>F</t>
    </r>
    <r>
      <rPr>
        <b/>
        <vertAlign val="superscript"/>
        <sz val="10"/>
        <color rgb="FF0070C0"/>
        <rFont val="Cambria"/>
        <family val="1"/>
      </rPr>
      <t>inv</t>
    </r>
  </si>
  <si>
    <r>
      <rPr>
        <sz val="10"/>
        <color rgb="FF0070C0"/>
        <rFont val="Cambria"/>
        <family val="1"/>
      </rPr>
      <t xml:space="preserve"> –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d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</si>
  <si>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d</t>
    </r>
  </si>
  <si>
    <r>
      <rPr>
        <sz val="10"/>
        <color rgb="FF0070C0"/>
        <rFont val="Cambria"/>
        <family val="1"/>
      </rPr>
      <t xml:space="preserve"> –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e</t>
    </r>
  </si>
  <si>
    <r>
      <rPr>
        <sz val="10"/>
        <color rgb="FF0070C0"/>
        <rFont val="Cambria"/>
        <family val="1"/>
      </rPr>
      <t xml:space="preserve"> + </t>
    </r>
    <r>
      <rPr>
        <i/>
        <sz val="10"/>
        <color rgb="FF0070C0"/>
        <rFont val="Cambria"/>
        <family val="1"/>
      </rPr>
      <t>F</t>
    </r>
    <r>
      <rPr>
        <i/>
        <vertAlign val="superscript"/>
        <sz val="10"/>
        <color rgb="FF0070C0"/>
        <rFont val="Cambria"/>
        <family val="1"/>
      </rPr>
      <t>e</t>
    </r>
  </si>
  <si>
    <r>
      <t xml:space="preserve"> + </t>
    </r>
    <r>
      <rPr>
        <b/>
        <i/>
        <sz val="10"/>
        <color rgb="FF0070C0"/>
        <rFont val="Cambria"/>
        <family val="1"/>
      </rPr>
      <t>F</t>
    </r>
    <r>
      <rPr>
        <b/>
        <vertAlign val="superscript"/>
        <sz val="10"/>
        <color rgb="FF0070C0"/>
        <rFont val="Cambria"/>
        <family val="1"/>
      </rPr>
      <t>fin</t>
    </r>
  </si>
  <si>
    <t xml:space="preserve"> + Asset disposal (net of capital expenditures)</t>
  </si>
  <si>
    <t>Accounts Receivable</t>
  </si>
  <si>
    <t>Accounts Payable (manufacturing)</t>
  </si>
  <si>
    <t>Accounts Payable (nonmanufacturing)</t>
  </si>
  <si>
    <t>S&amp;W Payable (manufacturing)</t>
  </si>
  <si>
    <t>S&amp;W Payable (nonmanufacturing)</t>
  </si>
  <si>
    <t>(Net) Fixed Assets</t>
  </si>
  <si>
    <t>Taxes Payable</t>
  </si>
  <si>
    <t>AR</t>
  </si>
  <si>
    <t>Inv</t>
  </si>
  <si>
    <r>
      <t>AP</t>
    </r>
    <r>
      <rPr>
        <i/>
        <vertAlign val="superscript"/>
        <sz val="10"/>
        <rFont val="Cambria"/>
        <family val="1"/>
      </rPr>
      <t>m</t>
    </r>
  </si>
  <si>
    <r>
      <t>AP</t>
    </r>
    <r>
      <rPr>
        <i/>
        <vertAlign val="superscript"/>
        <sz val="10"/>
        <rFont val="Cambria"/>
        <family val="1"/>
      </rPr>
      <t>nm</t>
    </r>
  </si>
  <si>
    <r>
      <t>SWP</t>
    </r>
    <r>
      <rPr>
        <i/>
        <vertAlign val="superscript"/>
        <sz val="10"/>
        <rFont val="Cambria"/>
        <family val="1"/>
      </rPr>
      <t>m</t>
    </r>
  </si>
  <si>
    <r>
      <t>SWP</t>
    </r>
    <r>
      <rPr>
        <i/>
        <vertAlign val="superscript"/>
        <sz val="10"/>
        <rFont val="Cambria"/>
        <family val="1"/>
      </rPr>
      <t>nm</t>
    </r>
  </si>
  <si>
    <t>NFA</t>
  </si>
  <si>
    <t>TP</t>
  </si>
  <si>
    <r>
      <t>C</t>
    </r>
    <r>
      <rPr>
        <i/>
        <vertAlign val="superscript"/>
        <sz val="10"/>
        <rFont val="Cambria"/>
        <family val="1"/>
      </rPr>
      <t>l</t>
    </r>
  </si>
  <si>
    <r>
      <t>C</t>
    </r>
    <r>
      <rPr>
        <i/>
        <vertAlign val="superscript"/>
        <sz val="10"/>
        <rFont val="Cambria"/>
        <family val="1"/>
      </rPr>
      <t>d</t>
    </r>
  </si>
  <si>
    <r>
      <t>C</t>
    </r>
    <r>
      <rPr>
        <i/>
        <vertAlign val="superscript"/>
        <sz val="10"/>
        <rFont val="Cambria"/>
        <family val="1"/>
      </rPr>
      <t>e</t>
    </r>
  </si>
  <si>
    <t>Income from inventory (Δ Inventory)</t>
  </si>
  <si>
    <t>Cost of Purchases (manufacturing)</t>
  </si>
  <si>
    <t>Cost of Purchases (nonmanufacturing)</t>
  </si>
  <si>
    <t>Labor costs (manufacturing)</t>
  </si>
  <si>
    <t>Labor costs (nonmanufacturing)</t>
  </si>
  <si>
    <t>Interest income</t>
  </si>
  <si>
    <t>Interest expenses</t>
  </si>
  <si>
    <t>S</t>
  </si>
  <si>
    <t>ΔInv</t>
  </si>
  <si>
    <r>
      <t>COP</t>
    </r>
    <r>
      <rPr>
        <i/>
        <vertAlign val="superscript"/>
        <sz val="10"/>
        <rFont val="Cambria"/>
        <family val="1"/>
      </rPr>
      <t>m</t>
    </r>
  </si>
  <si>
    <r>
      <t>COP</t>
    </r>
    <r>
      <rPr>
        <i/>
        <vertAlign val="superscript"/>
        <sz val="10"/>
        <rFont val="Cambria"/>
        <family val="1"/>
      </rPr>
      <t>nm</t>
    </r>
  </si>
  <si>
    <r>
      <t>LC</t>
    </r>
    <r>
      <rPr>
        <i/>
        <vertAlign val="superscript"/>
        <sz val="10"/>
        <rFont val="Cambria"/>
        <family val="1"/>
      </rPr>
      <t>m</t>
    </r>
  </si>
  <si>
    <r>
      <t>LC</t>
    </r>
    <r>
      <rPr>
        <i/>
        <vertAlign val="superscript"/>
        <sz val="10"/>
        <rFont val="Cambria"/>
        <family val="1"/>
      </rPr>
      <t>nm</t>
    </r>
  </si>
  <si>
    <t>Dep</t>
  </si>
  <si>
    <t>T</t>
  </si>
  <si>
    <r>
      <t>I</t>
    </r>
    <r>
      <rPr>
        <i/>
        <vertAlign val="superscript"/>
        <sz val="10"/>
        <rFont val="Cambria"/>
        <family val="1"/>
      </rPr>
      <t>l</t>
    </r>
  </si>
  <si>
    <r>
      <t>I</t>
    </r>
    <r>
      <rPr>
        <i/>
        <vertAlign val="superscript"/>
        <sz val="10"/>
        <rFont val="Cambria"/>
        <family val="1"/>
      </rPr>
      <t>d</t>
    </r>
  </si>
  <si>
    <r>
      <t>I</t>
    </r>
    <r>
      <rPr>
        <i/>
        <vertAlign val="superscript"/>
        <sz val="10"/>
        <rFont val="Cambria"/>
        <family val="1"/>
      </rPr>
      <t>e</t>
    </r>
  </si>
  <si>
    <t>Cash flow to equity</t>
  </si>
  <si>
    <t>Cash receipts from customers</t>
  </si>
  <si>
    <t>Cash flow from inventory (= 0)</t>
  </si>
  <si>
    <t>Payments to suppliers (manufacturing)</t>
  </si>
  <si>
    <t>Payments to suppliers (nonmanufacturing)</t>
  </si>
  <si>
    <t>Payments to employees (manufacturing)</t>
  </si>
  <si>
    <t>Payments to employees (nonmanufacturing)</t>
  </si>
  <si>
    <t>Asset disposal (net of capital expenditures)</t>
  </si>
  <si>
    <t>Payments for income taxes</t>
  </si>
  <si>
    <t>Cash flow from liquid assets (net of deposits)</t>
  </si>
  <si>
    <t>Cash flow to debt</t>
  </si>
  <si>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ar</t>
    </r>
  </si>
  <si>
    <t>0</t>
  </si>
  <si>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ap,m</t>
    </r>
  </si>
  <si>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ap,nm</t>
    </r>
  </si>
  <si>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swp,m</t>
    </r>
  </si>
  <si>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swp,nm</t>
    </r>
  </si>
  <si>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nfa</t>
    </r>
  </si>
  <si>
    <r>
      <rPr>
        <i/>
        <sz val="10"/>
        <rFont val="Cambria"/>
        <family val="1"/>
      </rPr>
      <t>F</t>
    </r>
    <r>
      <rPr>
        <i/>
        <vertAlign val="superscript"/>
        <sz val="10"/>
        <rFont val="Cambria"/>
        <family val="1"/>
      </rPr>
      <t>tp</t>
    </r>
  </si>
  <si>
    <r>
      <t>F</t>
    </r>
    <r>
      <rPr>
        <i/>
        <vertAlign val="superscript"/>
        <sz val="10"/>
        <rFont val="Cambria"/>
        <family val="1"/>
      </rPr>
      <t>l</t>
    </r>
  </si>
  <si>
    <r>
      <t>F</t>
    </r>
    <r>
      <rPr>
        <i/>
        <vertAlign val="superscript"/>
        <sz val="10"/>
        <rFont val="Cambria"/>
        <family val="1"/>
      </rPr>
      <t>d</t>
    </r>
  </si>
  <si>
    <r>
      <t>F</t>
    </r>
    <r>
      <rPr>
        <i/>
        <vertAlign val="superscript"/>
        <sz val="10"/>
        <rFont val="Cambria"/>
        <family val="1"/>
      </rPr>
      <t>e</t>
    </r>
  </si>
  <si>
    <t>Value of investment policy ( = Unlevered NPV )</t>
  </si>
  <si>
    <r>
      <t xml:space="preserve">Non-operating NPV   </t>
    </r>
    <r>
      <rPr>
        <sz val="10"/>
        <color theme="1" tint="0.249977111117893"/>
        <rFont val="Cambria"/>
        <family val="1"/>
      </rPr>
      <t>NPV</t>
    </r>
    <r>
      <rPr>
        <vertAlign val="superscript"/>
        <sz val="10"/>
        <color theme="1" tint="0.249977111117893"/>
        <rFont val="Cambria"/>
        <family val="1"/>
      </rPr>
      <t>l</t>
    </r>
  </si>
  <si>
    <r>
      <t xml:space="preserve">Debt NPV   </t>
    </r>
    <r>
      <rPr>
        <sz val="10"/>
        <color theme="1" tint="0.249977111117893"/>
        <rFont val="Cambria"/>
        <family val="1"/>
      </rPr>
      <t>NPV</t>
    </r>
    <r>
      <rPr>
        <vertAlign val="superscript"/>
        <sz val="10"/>
        <color theme="1" tint="0.249977111117893"/>
        <rFont val="Cambria"/>
        <family val="1"/>
      </rPr>
      <t>d</t>
    </r>
  </si>
  <si>
    <r>
      <rPr>
        <b/>
        <sz val="10"/>
        <color theme="1"/>
        <rFont val="Arial"/>
        <family val="2"/>
      </rPr>
      <t>(A)</t>
    </r>
    <r>
      <rPr>
        <b/>
        <sz val="10"/>
        <color theme="1"/>
        <rFont val="Cambria"/>
        <family val="1"/>
      </rPr>
      <t xml:space="preserve"> </t>
    </r>
    <r>
      <rPr>
        <b/>
        <i/>
        <sz val="10"/>
        <color theme="1"/>
        <rFont val="Cambria"/>
        <family val="1"/>
      </rPr>
      <t>r</t>
    </r>
    <r>
      <rPr>
        <b/>
        <i/>
        <vertAlign val="superscript"/>
        <sz val="10"/>
        <color theme="1"/>
        <rFont val="Cambria"/>
        <family val="1"/>
      </rPr>
      <t>e</t>
    </r>
    <r>
      <rPr>
        <b/>
        <vertAlign val="subscript"/>
        <sz val="10"/>
        <color theme="1"/>
        <rFont val="Cambria"/>
        <family val="1"/>
      </rPr>
      <t>t</t>
    </r>
    <r>
      <rPr>
        <b/>
        <sz val="10"/>
        <color theme="1"/>
        <rFont val="Cambria"/>
        <family val="1"/>
      </rPr>
      <t xml:space="preserve"> </t>
    </r>
    <r>
      <rPr>
        <sz val="10"/>
        <color theme="1"/>
        <rFont val="Cambria"/>
        <family val="1"/>
      </rPr>
      <t xml:space="preserve">= (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e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F</t>
    </r>
    <r>
      <rPr>
        <i/>
        <vertAlign val="superscript"/>
        <sz val="10"/>
        <color theme="1"/>
        <rFont val="Cambria"/>
        <family val="1"/>
      </rPr>
      <t>Ve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–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e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 /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e</t>
    </r>
    <r>
      <rPr>
        <vertAlign val="subscript"/>
        <sz val="10"/>
        <color theme="1"/>
        <rFont val="Cambria"/>
        <family val="1"/>
      </rPr>
      <t>t–1</t>
    </r>
  </si>
  <si>
    <r>
      <rPr>
        <b/>
        <sz val="10"/>
        <color theme="1"/>
        <rFont val="Arial"/>
        <family val="2"/>
      </rPr>
      <t xml:space="preserve">(B) </t>
    </r>
    <r>
      <rPr>
        <b/>
        <i/>
        <sz val="10"/>
        <color theme="1"/>
        <rFont val="Cambria"/>
        <family val="1"/>
      </rPr>
      <t>r</t>
    </r>
    <r>
      <rPr>
        <b/>
        <i/>
        <vertAlign val="superscript"/>
        <sz val="10"/>
        <color theme="1"/>
        <rFont val="Cambria"/>
        <family val="1"/>
      </rPr>
      <t>e</t>
    </r>
    <r>
      <rPr>
        <b/>
        <vertAlign val="subscript"/>
        <sz val="10"/>
        <color theme="1"/>
        <rFont val="Cambria"/>
        <family val="1"/>
      </rPr>
      <t>t</t>
    </r>
    <r>
      <rPr>
        <b/>
        <sz val="10"/>
        <color theme="1"/>
        <rFont val="Cambria"/>
        <family val="1"/>
      </rPr>
      <t xml:space="preserve"> </t>
    </r>
    <r>
      <rPr>
        <sz val="10"/>
        <color theme="1"/>
        <rFont val="Cambria"/>
        <family val="1"/>
      </rPr>
      <t xml:space="preserve">= (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l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l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–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 / (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l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–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</t>
    </r>
  </si>
  <si>
    <r>
      <rPr>
        <b/>
        <sz val="10"/>
        <color theme="1"/>
        <rFont val="Arial"/>
        <family val="2"/>
      </rPr>
      <t xml:space="preserve">(C) </t>
    </r>
    <r>
      <rPr>
        <b/>
        <i/>
        <sz val="10"/>
        <color theme="1"/>
        <rFont val="Cambria"/>
        <family val="1"/>
      </rPr>
      <t>r</t>
    </r>
    <r>
      <rPr>
        <b/>
        <i/>
        <vertAlign val="superscript"/>
        <sz val="10"/>
        <color theme="1"/>
        <rFont val="Cambria"/>
        <family val="1"/>
      </rPr>
      <t>e</t>
    </r>
    <r>
      <rPr>
        <b/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= ( after-tax WACC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l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l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–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+ tax shield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) / (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l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–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</t>
    </r>
  </si>
  <si>
    <r>
      <rPr>
        <b/>
        <sz val="10"/>
        <color theme="1"/>
        <rFont val="Arial"/>
        <family val="2"/>
      </rPr>
      <t xml:space="preserve">(A) </t>
    </r>
    <r>
      <rPr>
        <b/>
        <i/>
        <sz val="10"/>
        <color theme="1"/>
        <rFont val="Cambria"/>
        <family val="1"/>
      </rPr>
      <t>r</t>
    </r>
    <r>
      <rPr>
        <b/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= (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e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∙ V</t>
    </r>
    <r>
      <rPr>
        <i/>
        <vertAlign val="superscript"/>
        <sz val="10"/>
        <color theme="1"/>
        <rFont val="Cambria"/>
        <family val="1"/>
      </rPr>
      <t>e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∙ V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 / (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e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</t>
    </r>
  </si>
  <si>
    <r>
      <rPr>
        <b/>
        <sz val="10"/>
        <color theme="1"/>
        <rFont val="Arial"/>
        <family val="2"/>
      </rPr>
      <t>(A) pre-tax WACC</t>
    </r>
    <r>
      <rPr>
        <sz val="10"/>
        <color theme="1"/>
        <rFont val="Arial"/>
        <family val="2"/>
      </rPr>
      <t xml:space="preserve">  </t>
    </r>
    <r>
      <rPr>
        <sz val="10"/>
        <color theme="1"/>
        <rFont val="Cambria"/>
        <family val="1"/>
      </rPr>
      <t xml:space="preserve">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= (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F</t>
    </r>
    <r>
      <rPr>
        <i/>
        <vertAlign val="superscript"/>
        <sz val="10"/>
        <color theme="1"/>
        <rFont val="Cambria"/>
        <family val="1"/>
      </rPr>
      <t>Vo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–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 /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t–1</t>
    </r>
  </si>
  <si>
    <r>
      <rPr>
        <b/>
        <sz val="10"/>
        <color theme="1"/>
        <rFont val="Arial"/>
        <family val="2"/>
      </rPr>
      <t>(B) pre-tax WACC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Cambria"/>
        <family val="1"/>
      </rPr>
      <t xml:space="preserve">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= (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e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e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–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l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∙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l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 / (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d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e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–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l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</t>
    </r>
  </si>
  <si>
    <r>
      <rPr>
        <b/>
        <sz val="10"/>
        <color theme="1"/>
        <rFont val="Arial"/>
        <family val="2"/>
      </rPr>
      <t>(A) after-tax WACC</t>
    </r>
    <r>
      <rPr>
        <sz val="10"/>
        <color theme="1"/>
        <rFont val="Arial"/>
        <family val="2"/>
      </rPr>
      <t xml:space="preserve"> =  </t>
    </r>
    <r>
      <rPr>
        <i/>
        <sz val="10"/>
        <color theme="1"/>
        <rFont val="Cambria"/>
        <family val="1"/>
      </rPr>
      <t>r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– ( tax shield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/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</t>
    </r>
  </si>
  <si>
    <r>
      <rPr>
        <b/>
        <sz val="10"/>
        <color theme="1"/>
        <rFont val="Arial"/>
        <family val="2"/>
      </rPr>
      <t>(A) after-tax WACC</t>
    </r>
    <r>
      <rPr>
        <sz val="10"/>
        <color theme="1"/>
        <rFont val="Arial"/>
        <family val="2"/>
      </rPr>
      <t xml:space="preserve"> = </t>
    </r>
    <r>
      <rPr>
        <sz val="10"/>
        <color theme="1"/>
        <rFont val="Cambria"/>
        <family val="1"/>
      </rPr>
      <t xml:space="preserve"> (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+ FCF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–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 /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o</t>
    </r>
    <r>
      <rPr>
        <vertAlign val="subscript"/>
        <sz val="10"/>
        <color theme="1"/>
        <rFont val="Cambria"/>
        <family val="1"/>
      </rPr>
      <t>i–1</t>
    </r>
  </si>
  <si>
    <t>Adapted from </t>
  </si>
  <si>
    <t>Differential Matrix</t>
  </si>
  <si>
    <t>Market Value Added and Economic Residual income: Four-area Matrix</t>
  </si>
  <si>
    <r>
      <t xml:space="preserve"> - ERI</t>
    </r>
    <r>
      <rPr>
        <i/>
        <vertAlign val="superscript"/>
        <sz val="10"/>
        <rFont val="Cambria"/>
        <family val="1"/>
      </rPr>
      <t>o</t>
    </r>
  </si>
  <si>
    <r>
      <t xml:space="preserve"> - ERI</t>
    </r>
    <r>
      <rPr>
        <i/>
        <vertAlign val="superscript"/>
        <sz val="10"/>
        <rFont val="Cambria"/>
        <family val="1"/>
      </rPr>
      <t>l</t>
    </r>
  </si>
  <si>
    <r>
      <t xml:space="preserve"> - ERI</t>
    </r>
    <r>
      <rPr>
        <i/>
        <vertAlign val="superscript"/>
        <sz val="10"/>
        <rFont val="Cambria"/>
        <family val="1"/>
      </rPr>
      <t>d</t>
    </r>
  </si>
  <si>
    <r>
      <t xml:space="preserve"> - ERI</t>
    </r>
    <r>
      <rPr>
        <i/>
        <vertAlign val="superscript"/>
        <sz val="10"/>
        <rFont val="Cambria"/>
        <family val="1"/>
      </rPr>
      <t>e</t>
    </r>
  </si>
  <si>
    <r>
      <t xml:space="preserve"> - ERI</t>
    </r>
    <r>
      <rPr>
        <vertAlign val="superscript"/>
        <sz val="10"/>
        <rFont val="Cambria"/>
        <family val="1"/>
      </rPr>
      <t>fin</t>
    </r>
  </si>
  <si>
    <r>
      <t xml:space="preserve"> - ERI</t>
    </r>
    <r>
      <rPr>
        <vertAlign val="superscript"/>
        <sz val="10"/>
        <rFont val="Cambria"/>
        <family val="1"/>
      </rPr>
      <t>inv</t>
    </r>
  </si>
  <si>
    <t>Cost of capital</t>
  </si>
  <si>
    <t>MARR= Minimum Attractive Rate of Return</t>
  </si>
  <si>
    <r>
      <rPr>
        <b/>
        <sz val="10"/>
        <color theme="1"/>
        <rFont val="Arial"/>
        <family val="2"/>
      </rPr>
      <t xml:space="preserve">(B) </t>
    </r>
    <r>
      <rPr>
        <b/>
        <i/>
        <sz val="10"/>
        <color theme="1"/>
        <rFont val="Cambria"/>
        <family val="1"/>
      </rPr>
      <t>r</t>
    </r>
    <r>
      <rPr>
        <b/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= ( </t>
    </r>
    <r>
      <rPr>
        <i/>
        <sz val="10"/>
        <color theme="1"/>
        <rFont val="Cambria"/>
        <family val="1"/>
      </rPr>
      <t>V</t>
    </r>
    <r>
      <rPr>
        <vertAlign val="superscript"/>
        <sz val="10"/>
        <color theme="1"/>
        <rFont val="Cambria"/>
        <family val="1"/>
      </rPr>
      <t>inv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+ </t>
    </r>
    <r>
      <rPr>
        <i/>
        <sz val="10"/>
        <color theme="1"/>
        <rFont val="Cambria"/>
        <family val="1"/>
      </rPr>
      <t>F</t>
    </r>
    <r>
      <rPr>
        <i/>
        <vertAlign val="superscript"/>
        <sz val="10"/>
        <color theme="1"/>
        <rFont val="Cambria"/>
        <family val="1"/>
      </rPr>
      <t>V</t>
    </r>
    <r>
      <rPr>
        <vertAlign val="superscript"/>
        <sz val="10"/>
        <color theme="1"/>
        <rFont val="Cambria"/>
        <family val="1"/>
      </rPr>
      <t>inv</t>
    </r>
    <r>
      <rPr>
        <vertAlign val="subscript"/>
        <sz val="10"/>
        <color theme="1"/>
        <rFont val="Cambria"/>
        <family val="1"/>
      </rPr>
      <t>t</t>
    </r>
    <r>
      <rPr>
        <sz val="10"/>
        <color theme="1"/>
        <rFont val="Cambria"/>
        <family val="1"/>
      </rPr>
      <t xml:space="preserve"> – </t>
    </r>
    <r>
      <rPr>
        <i/>
        <sz val="10"/>
        <color theme="1"/>
        <rFont val="Cambria"/>
        <family val="1"/>
      </rPr>
      <t>V</t>
    </r>
    <r>
      <rPr>
        <vertAlign val="superscript"/>
        <sz val="10"/>
        <color theme="1"/>
        <rFont val="Cambria"/>
        <family val="1"/>
      </rPr>
      <t>inv</t>
    </r>
    <r>
      <rPr>
        <vertAlign val="subscript"/>
        <sz val="10"/>
        <color theme="1"/>
        <rFont val="Cambria"/>
        <family val="1"/>
      </rPr>
      <t>t–1</t>
    </r>
    <r>
      <rPr>
        <sz val="10"/>
        <color theme="1"/>
        <rFont val="Cambria"/>
        <family val="1"/>
      </rPr>
      <t xml:space="preserve"> ) / </t>
    </r>
    <r>
      <rPr>
        <i/>
        <sz val="10"/>
        <color theme="1"/>
        <rFont val="Cambria"/>
        <family val="1"/>
      </rPr>
      <t>V</t>
    </r>
    <r>
      <rPr>
        <vertAlign val="superscript"/>
        <sz val="10"/>
        <color theme="1"/>
        <rFont val="Cambria"/>
        <family val="1"/>
      </rPr>
      <t>inv</t>
    </r>
    <r>
      <rPr>
        <vertAlign val="subscript"/>
        <sz val="10"/>
        <color theme="1"/>
        <rFont val="Cambria"/>
        <family val="1"/>
      </rPr>
      <t>t–1</t>
    </r>
  </si>
  <si>
    <t>Financial Diagnostics</t>
  </si>
  <si>
    <t>Accounting Diagnostics</t>
  </si>
  <si>
    <t>Year</t>
  </si>
  <si>
    <t>Modified Cash Flow to Equity</t>
  </si>
  <si>
    <t>Modified Cash Flow to Debt</t>
  </si>
  <si>
    <r>
      <t>NPV</t>
    </r>
    <r>
      <rPr>
        <vertAlign val="superscript"/>
        <sz val="10"/>
        <color theme="1"/>
        <rFont val="Arial"/>
        <family val="2"/>
      </rPr>
      <t>e</t>
    </r>
  </si>
  <si>
    <r>
      <rPr>
        <b/>
        <sz val="10"/>
        <color theme="1"/>
        <rFont val="Arial"/>
        <family val="2"/>
      </rPr>
      <t xml:space="preserve">MODIFIED DISCOUNTING </t>
    </r>
    <r>
      <rPr>
        <sz val="10"/>
        <color theme="1"/>
        <rFont val="Arial"/>
        <family val="2"/>
      </rPr>
      <t>(Magni 2020, Sec. 6.3)</t>
    </r>
  </si>
  <si>
    <t>Microsoft Excel file accompanying the paper</t>
  </si>
  <si>
    <t>Cash Flow from Operations (CCF)</t>
  </si>
  <si>
    <r>
      <t>Value of Net Debt (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d</t>
    </r>
    <r>
      <rPr>
        <sz val="10"/>
        <color theme="1"/>
        <rFont val="Cambria"/>
        <family val="1"/>
      </rPr>
      <t xml:space="preserve">– </t>
    </r>
    <r>
      <rPr>
        <i/>
        <sz val="10"/>
        <color theme="1"/>
        <rFont val="Cambria"/>
        <family val="1"/>
      </rPr>
      <t>V</t>
    </r>
    <r>
      <rPr>
        <i/>
        <vertAlign val="superscript"/>
        <sz val="10"/>
        <color theme="1"/>
        <rFont val="Cambria"/>
        <family val="1"/>
      </rPr>
      <t>l</t>
    </r>
    <r>
      <rPr>
        <sz val="10"/>
        <color theme="1"/>
        <rFont val="Arial"/>
        <family val="2"/>
      </rPr>
      <t>)</t>
    </r>
  </si>
  <si>
    <r>
      <t>chek NPV</t>
    </r>
    <r>
      <rPr>
        <vertAlign val="superscript"/>
        <sz val="10"/>
        <color rgb="FF00B050"/>
        <rFont val="Arial"/>
        <family val="2"/>
      </rPr>
      <t>e</t>
    </r>
  </si>
  <si>
    <t xml:space="preserve">Cash Flow Statement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</si>
</sst>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9">
    <numFmt numFmtId="43" formatCode="_-* #,##0.00_-;\-* #,##0.00_-;_-* &quot;-&quot;??_-;_-@_-"/>
    <numFmt numFmtId="164" formatCode="00"/>
    <numFmt numFmtId="165" formatCode="#,##0;\-\ #,##0;\-\ "/>
    <numFmt numFmtId="166" formatCode="#,##0.00;\-\ #,##0.00;\-\ "/>
    <numFmt numFmtId="167" formatCode="dd/mm/yy"/>
    <numFmt numFmtId="168" formatCode="0.0%"/>
    <numFmt numFmtId="169" formatCode="#,##0.0;\-\ #,##0.0;\-\ "/>
    <numFmt numFmtId="170" formatCode="#,##0_ ;\-#,##0\ "/>
    <numFmt numFmtId="171" formatCode="###0"/>
    <numFmt numFmtId="172" formatCode="###0;###0"/>
    <numFmt numFmtId="173" formatCode="\+;\-"/>
    <numFmt numFmtId="174" formatCode="0.000"/>
    <numFmt numFmtId="175" formatCode="#,##0.0_ ;\-#,##0.0\ "/>
    <numFmt numFmtId="176" formatCode="#,##0.00_ ;\-#,##0.00\ "/>
    <numFmt numFmtId="177" formatCode="&quot;+ Accounts Receivable&quot;* #,##0\ ;&quot;+ Accounts Receivable&quot;* \-#,##0\ "/>
    <numFmt numFmtId="178" formatCode="&quot;+ Sales&quot;* #,##0\ ;&quot;+ Sales&quot;* \-#,##0\ "/>
    <numFmt numFmtId="179" formatCode="&quot;– Cash receipts from customers&quot;* #,##0\ ;&quot;– Cash receipts from customers&quot;* \-#,##0\ "/>
    <numFmt numFmtId="180" formatCode="&quot;+ Inventory&quot;* #,##0\ ;&quot;+ Inventory&quot;* \-#,##0\ "/>
    <numFmt numFmtId="181" formatCode="&quot;+ Income from inventory&quot;* #,##0\ ;&quot;+ Income from inventory&quot;* \-#,##0\ "/>
    <numFmt numFmtId="182" formatCode="&quot;– Cash flow from inventory&quot;* #,##0\ ;&quot;– Cash flow from inventory&quot;* \-#,##0\ "/>
    <numFmt numFmtId="183" formatCode="&quot;– Accounts Payable (m)&quot;* #,##0\ ;&quot;– Accounts Payable (m)&quot;* \-#,##0\ "/>
    <numFmt numFmtId="184" formatCode="&quot;– Cost of Purchases (m)&quot;* #,##0\ ;&quot;– Cost of Purchases (m)&quot;* \-#,##0\ "/>
    <numFmt numFmtId="185" formatCode="&quot;+ Payments to suppliers (m)&quot;* #,##0\ ;&quot;+ Payments to suppliers (m)&quot;* \-#,##0\ "/>
    <numFmt numFmtId="186" formatCode="&quot;– Accounts Payable (nm)&quot;* #,##0\ ;&quot;– Accounts Payable (nm)&quot;* \-#,##0\ "/>
    <numFmt numFmtId="187" formatCode="&quot;– Cost of Purchases (nm)&quot;* #,##0\ ;&quot;– Cost of Purchases (nm)&quot;* \-#,##0\ "/>
    <numFmt numFmtId="188" formatCode="&quot;+ Payments to suppliers (nm)&quot;* #,##0\ ;&quot;+ Payments to suppliers (nm)&quot;* \-#,##0\ "/>
    <numFmt numFmtId="189" formatCode="&quot;– S&amp;W Payable (m)&quot;* #,##0\ ;&quot;– S&amp;W Payable (m)&quot;* \-#,##0\ "/>
    <numFmt numFmtId="190" formatCode="&quot;– Labor costs 0 (m)&quot;* #,##0\ ;&quot;– Labor costs 0 (m)&quot;* \-#,##0\ "/>
    <numFmt numFmtId="191" formatCode="&quot;+ Payments to employees (m)&quot;* #,##0\ ;&quot;+ Payments to employees (m)&quot;* \-#,##0\ "/>
    <numFmt numFmtId="192" formatCode="&quot;– S&amp;W Payable (nm)&quot;* #,##0\ ;&quot;– S&amp;W Payable (nm)&quot;* \-#,##0\ "/>
    <numFmt numFmtId="193" formatCode="&quot;– Labor costs 0 (nm)&quot;* #,##0\ ;&quot;– Labor costs 0 (nm)&quot;* \-#,##0\ "/>
    <numFmt numFmtId="194" formatCode="&quot;+ Payments to employees (nm)&quot;* #,##0\ ;&quot;+ Payments to employees (nm)&quot;* \-#,##0\ "/>
    <numFmt numFmtId="195" formatCode="&quot;– Depreciation&quot;* #,##0\ ;&quot;– Depreciation&quot;* \-#,##0\ "/>
    <numFmt numFmtId="196" formatCode="&quot;– Taxes Payable&quot;* #,##0\ ;&quot;– Taxes Payable&quot;* \-#,##0\ "/>
    <numFmt numFmtId="197" formatCode="&quot;– Taxes&quot;* #,##0\ ;&quot;– Taxes&quot;* \-#,##0\ "/>
    <numFmt numFmtId="198" formatCode="&quot;+ Payments for income taxes&quot;* #,##0\ ;&quot;+ Payments for income taxes&quot;* \-#,##0\ "/>
    <numFmt numFmtId="199" formatCode="&quot;+ Liquid Assets&quot;* #,##0\ ;&quot;+ Liquid Assets&quot;* \-#,##0\ "/>
    <numFmt numFmtId="200" formatCode="&quot;+ Interest income&quot;* #,##0\ ;&quot;+ Interest income&quot;* \-#,##0\ "/>
    <numFmt numFmtId="201" formatCode="&quot;– Cash flow from liquid assets&quot;* #,##0\ ;&quot;– Cash flow from liquid assets&quot;* \-#,##0\ "/>
    <numFmt numFmtId="202" formatCode="&quot;+ Debt&quot;* #,##0\ ;&quot;+ Debt&quot;* \-#,##0\ "/>
    <numFmt numFmtId="203" formatCode="&quot;+ Interest expenses&quot;* #,##0\ ;&quot;+ Interest expenses&quot;* \-#,##0\ "/>
    <numFmt numFmtId="204" formatCode="&quot;– Cash flow to debt&quot;* #,##0\ ;&quot;– Cash flow to debt&quot;* \-#,##0\ "/>
    <numFmt numFmtId="205" formatCode="&quot;+ Equity&quot;* #,##0\ ;&quot;+ Equity&quot;* \-#,##0\ "/>
    <numFmt numFmtId="206" formatCode="&quot;+ Net Income&quot;* #,##0\ ;&quot;+ Net Income&quot;* \-#,##0\ "/>
    <numFmt numFmtId="207" formatCode="&quot;– Cash flow to equity&quot;* #,##0\ ;&quot;– Cash flow to equity&quot;* \-#,##0\ "/>
    <numFmt numFmtId="208" formatCode="&quot;– Accounts Payable&quot;* #,##0\ ;&quot;– Accounts Payable&quot;* \-#,##0\ "/>
    <numFmt numFmtId="209" formatCode="&quot;– Cost of Purchases&quot;* #,##0\ ;&quot;– Cost of Purchases&quot;* \-#,##0\ "/>
    <numFmt numFmtId="210" formatCode="&quot;+ Payments to suppliers&quot;* #,##0\ ;&quot;+ Payments to suppliers&quot;* \-#,##0\ "/>
    <numFmt numFmtId="211" formatCode="&quot;– S&amp;W Payable&quot;* #,##0\ ;&quot;– S&amp;W Payable&quot;* \-#,##0\ "/>
    <numFmt numFmtId="212" formatCode="&quot;– Labor costs&quot;* #,##0\ ;&quot;– Labor costs&quot;* \-#,##0\ "/>
    <numFmt numFmtId="213" formatCode="&quot;– Net Asset disposals&quot;* #,##0\ ;&quot;– Net Asset disposals&quot;* \-#,##0\ "/>
    <numFmt numFmtId="214" formatCode="&quot;+ Net Fixed Assets&quot;* #,##0\ ;&quot;+ Net Fixed Assets&quot;* \-#,##0\ "/>
    <numFmt numFmtId="215" formatCode="&quot;– Net Operating Liabilities&quot;* #,##0\ ;&quot;– Net Operating Liabilities&quot;* \-#,##0\ "/>
    <numFmt numFmtId="216" formatCode="&quot;– Cost of Goods Sold&quot;* #,##0\ ;&quot;– Cost of Goods Sold&quot;* \-#,##0\ "/>
    <numFmt numFmtId="217" formatCode="&quot;+ Payments for COGS&quot;* #,##0\ ;&quot;+ Payments for COGS&quot;* \-#,##0\ "/>
    <numFmt numFmtId="218" formatCode="&quot;– Net Operating Liabilities (m)&quot;* #,##0\ ;&quot;– Net Operating Liabilities (m)&quot;* \-#,##0\ "/>
    <numFmt numFmtId="219" formatCode="&quot;– Net Operating Liabilities (nm)&quot;* #,##0\ ;&quot;– Net Operating Liabilities (nm)&quot;* \-#,##0\ "/>
    <numFmt numFmtId="220" formatCode="&quot;– Selling General &amp; Adm. Exp.&quot;* #,##0\ ;&quot;– Selling General &amp; Adm. Exp.&quot;* \-#,##0\ "/>
    <numFmt numFmtId="221" formatCode="&quot;+ Payments for SGA&quot;* #,##0\ ;&quot;+ Payments for SGA&quot;* \-#,##0\ "/>
    <numFmt numFmtId="222" formatCode="&quot;– Operating Costs&quot;* #,##0\ ;&quot;– Operating Costs&quot;* \-#,##0\ "/>
    <numFmt numFmtId="223" formatCode="&quot;+ Net Operating Working Capital&quot;* #,##0\ ;&quot;+ Net Operating Working Capital&quot;* \-#,##0\ "/>
    <numFmt numFmtId="224" formatCode="&quot;+ EBITDA – Taxes&quot;* #,##0\ ;&quot;+ EBITDA – Taxes&quot;* \-#,##0\ "/>
    <numFmt numFmtId="225" formatCode="&quot;– Cash flow from NOWC&quot;* #,##0\ ;&quot;– Cash flow from NOWC&quot;* \-#,##0\ "/>
    <numFmt numFmtId="226" formatCode="&quot;+ Net Operating Assets&quot;* #,##0\ ;&quot;+ Net Operating Assets&quot;* \-#,##0\ "/>
    <numFmt numFmtId="227" formatCode="&quot;+ Operating Income&quot;* #,##0\ ;&quot;+ Operating Income&quot;* \-#,##0\ "/>
    <numFmt numFmtId="228" formatCode="&quot;– Cash flow from operations&quot;* #,##0\ ;&quot;– Cash flow from operations&quot;* \-#,##0\ "/>
    <numFmt numFmtId="229" formatCode="&quot;+ Net Assets&quot;* #,##0\ ;&quot;+ Net Assets&quot;* \-#,##0\ "/>
    <numFmt numFmtId="230" formatCode="&quot;+ Net Worth &amp; Liabilities&quot;* #,##0\ ;&quot;+ Net Worth &amp; Liabilities&quot;* \-#,##0\ "/>
    <numFmt numFmtId="231" formatCode="&quot;– Cash flow from assets&quot;* #,##0\ ;&quot;– Cash flow from assets&quot;* \-#,##0\ "/>
    <numFmt numFmtId="232" formatCode="&quot;+ Bench. operating Value&quot;* #,##0\ ;&quot;+ Bench. Operating Value&quot;* \-#,##0\ "/>
    <numFmt numFmtId="233" formatCode="&quot;+ Bench. non-operating Value&quot;* #,##0\ ;&quot;+ Bench. non-operating Value&quot;* \-#,##0\ "/>
    <numFmt numFmtId="234" formatCode="&quot;+ Bench. Debt Value&quot;* #,##0\ ;&quot;+ Bench. Debt Value&quot;* \-#,##0\ "/>
    <numFmt numFmtId="235" formatCode="&quot;+ Bench. Equity Value&quot;* #,##0\ ;&quot;+ Bench. Equity Value&quot;* \-#,##0\ "/>
    <numFmt numFmtId="236" formatCode="&quot;+ Bench. operating return&quot;* #,##0\ ;&quot;+ Bench. operating return&quot;* \-#,##0\ "/>
    <numFmt numFmtId="237" formatCode="&quot;+ Bench. non-operating return&quot;* #,##0\ ;&quot;+ Bench. non-operating return&quot;* \-#,##0\ "/>
    <numFmt numFmtId="238" formatCode="&quot;+ Bench.debt return&quot;* #,##0\ ;&quot;+ Bench. debt return&quot;* \-#,##0\ "/>
    <numFmt numFmtId="239" formatCode="&quot;– Bench. equity return&quot;* #,##0\ ;&quot;– Bench. equity return&quot;* \-#,##0\ "/>
    <numFmt numFmtId="240" formatCode="&quot;– Bench. operating cash flow&quot;* #,##0\ ;&quot;– Bench. operating cash flow&quot;* \-#,##0\ "/>
    <numFmt numFmtId="241" formatCode="&quot;– Bench. non-operating cash flow&quot;* #,##0\ ;&quot;– Bench. non-operating cash flow&quot;* \-#,##0\ "/>
    <numFmt numFmtId="242" formatCode="&quot;– Bench. debt cash flow&quot;* #,##0\ ;&quot;– Bench. debt cash flow&quot;* \-#,##0\ "/>
    <numFmt numFmtId="243" formatCode="&quot;– Bench. equity cash flow&quot;* #,##0\ ;&quot;– Bench. equity cash flow&quot;* \-#,##0\ "/>
    <numFmt numFmtId="244" formatCode="&quot;– Cash flow to cap. providers&quot;* #,##0\ ;&quot;– Cash flow to cap. providers&quot;* \-#,##0\ "/>
    <numFmt numFmtId="245" formatCode="&quot;+ Income to cap. providers&quot;* #,##0\ ;&quot;+ + Income to cap. providers&quot;* \-#,##0\ "/>
    <numFmt numFmtId="246" formatCode="&quot;+ Income from assets&quot;* #,##0\ ;&quot;+ Income from assets&quot;* \-#,##0\ "/>
    <numFmt numFmtId="247" formatCode="&quot;+ Bench. Value to cap. providers&quot;* #,##0\ ;&quot;+ Bench. Value to cap. providers&quot;* \-#,##0\ "/>
    <numFmt numFmtId="248" formatCode="&quot;+ Bench. return to cap. providers&quot;* #,##0\ ;&quot;+ Bench. return to cap. providers&quot;* \-#,##0\ "/>
    <numFmt numFmtId="249" formatCode="&quot;+ Bench. Asset Value&quot;* #,##0\ ;&quot;+ Bench. Asset Value&quot;* \-#,##0\ "/>
    <numFmt numFmtId="250" formatCode="&quot;+ Bench. Asset return&quot;* #,##0\ ;&quot;+ Bench. Asset return&quot;* \-#,##0\ "/>
    <numFmt numFmtId="251" formatCode="&quot;– Bench. Asset cash flow&quot;* #,##0\ ;&quot;– Bench. Asset&quot;* \-#,##0\ "/>
    <numFmt numFmtId="252" formatCode="&quot;– Bench. cash flow to cap. providers&quot;* #,##0\ ;&quot;– Bench. cash flow to cap. providers&quot;* \-#,##0\ "/>
    <numFmt numFmtId="253" formatCode="&quot;+ Operating MVA&quot;* #,##0\ ;&quot;+ Operating MVA&quot;* \-#,##0\ "/>
    <numFmt numFmtId="254" formatCode="&quot;+ Non-operating MVA&quot;* #,##0\ ;&quot;+ Non-operating MVA&quot;* \-#,##0\ "/>
    <numFmt numFmtId="255" formatCode="&quot;+ Debt MVA&quot;* #,##0\ ;&quot;+ Debt Debt MVA&quot;* \-#,##0\ "/>
    <numFmt numFmtId="256" formatCode="&quot;+ Equity MVA&quot;* #,##0\ ;&quot;+ Equity MVA&quot;* \-#,##0\ "/>
    <numFmt numFmtId="257" formatCode="&quot;+ Bench. equity return&quot;* #,##0\ ;&quot;+ Bench. equity return&quot;* \-#,##0\ "/>
    <numFmt numFmtId="258" formatCode="&quot;– Equity RI&quot;* #,##0\ ;&quot;– Equity RI&quot;* \-#,##0\ "/>
    <numFmt numFmtId="259" formatCode="&quot;– Operating RI&quot;* #,##0\ ;&quot;–  Operating RI&quot;* \-#,##0\ "/>
    <numFmt numFmtId="260" formatCode="&quot;– Non-operating RI&quot;* #,##0\ ;&quot;– Non-operating RI&quot;* \-#,##0\ "/>
    <numFmt numFmtId="261" formatCode="&quot;– Debt RI&quot;* #,##0\ ;&quot;– Debt RI&quot;* \-#,##0\ "/>
    <numFmt numFmtId="262" formatCode="&quot;– Differential operating cash flow&quot;* #,##0\ ;&quot;– Differential operating cash flow&quot;* \-#,##0\ "/>
    <numFmt numFmtId="263" formatCode="&quot;– Differential non-operating cash flow&quot;* #,##0\ ;&quot;– Differential non-operating cash flow&quot;* \-#,##0\ "/>
    <numFmt numFmtId="264" formatCode="&quot;– Differential debt cash flow&quot;* #,##0\ ;&quot;– Differential debt cash flow&quot;* \-#,##0\ "/>
    <numFmt numFmtId="265" formatCode="&quot;– Differential equity cash flow&quot;* #,##0\ ;&quot;– Differential equity cash flow&quot;* \-#,##0\ "/>
    <numFmt numFmtId="266" formatCode="&quot;– Asset RI&quot;* #,##0\ ;&quot;– Asset RI&quot;* \-#,##0\ "/>
    <numFmt numFmtId="267" formatCode="&quot;– Cap. providers RI&quot;* #,##0\ ;&quot;– Cap. providers RI&quot;* \-#,##0\ "/>
    <numFmt numFmtId="268" formatCode="&quot;– Differential cash flow from assets&quot;* #,##0\ ;&quot;– Differential cash flows from assets&quot;* \-#,##0\ "/>
    <numFmt numFmtId="269" formatCode="&quot;+ Asset MVA&quot;* #,##0\ ;&quot;+ Asset MVA&quot;* \-#,##0\ "/>
    <numFmt numFmtId="270" formatCode="&quot;+ Cap. providers MVA&quot;* #,##0\ ;&quot;+ Cap. providers MVA&quot;* \-#,##0\ "/>
    <numFmt numFmtId="271" formatCode="&quot;– Accounts Receivable&quot;* #,##0\ ;&quot;– Accounts Receivable&quot;* \-#,##0\ "/>
    <numFmt numFmtId="272" formatCode="&quot;– Inventory&quot;* #,##0\ ;&quot;– Inventory&quot;* \-#,##0\ "/>
    <numFmt numFmtId="273" formatCode="&quot;+ Accounts Payable (m)&quot;* #,##0\ ;&quot;+ Accounts Payable (m)&quot;* \-#,##0\ "/>
    <numFmt numFmtId="274" formatCode="&quot;+ Accounts Payable (nm)&quot;* #,##0\ ;&quot;+ Accounts Payable (nm)&quot;* \-#,##0\ "/>
    <numFmt numFmtId="275" formatCode="&quot;+ S&amp;W Payable (m)&quot;* #,##0\ ;&quot;+ S&amp;W Payable (m)&quot;* \-#,##0\ "/>
    <numFmt numFmtId="276" formatCode="&quot;+ S&amp;W Payable (nm)&quot;* #,##0\ ;&quot;+ S&amp;W Payable (nm)&quot;* \-#,##0\ "/>
    <numFmt numFmtId="277" formatCode="&quot;– Net Fixed Assets&quot;* #,##0\ ;&quot;– Net Fixed Assets&quot;* \-#,##0\ "/>
    <numFmt numFmtId="278" formatCode="&quot;+ Taxes Payable&quot;* #,##0\ ;&quot;+ Taxes Payable&quot;* \-#,##0\ "/>
    <numFmt numFmtId="279" formatCode="&quot;– Liquid Assets&quot;* #,##0\ ;&quot;– Liquid Assets&quot;* \-#,##0\ "/>
    <numFmt numFmtId="280" formatCode="&quot;– Debt&quot;* #,##0\ ;&quot;– Debt&quot;* \-#,##0\ "/>
    <numFmt numFmtId="281" formatCode="&quot;– Equity&quot;* #,##0\ ;&quot;– Equity&quot;* \-#,##0\ "/>
  </numFmts>
  <fonts count="20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 tint="0.34998626667073579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70C0"/>
      <name val="Arial"/>
      <family val="2"/>
    </font>
    <font>
      <b/>
      <sz val="10"/>
      <color theme="1" tint="0.34998626667073579"/>
      <name val="Arial Black"/>
      <family val="2"/>
    </font>
    <font>
      <b/>
      <sz val="10"/>
      <color theme="1"/>
      <name val="Arial Black"/>
      <family val="2"/>
    </font>
    <font>
      <b/>
      <vertAlign val="subscript"/>
      <sz val="10"/>
      <color theme="1"/>
      <name val="Arial Black"/>
      <family val="2"/>
    </font>
    <font>
      <sz val="10"/>
      <name val="Cambria"/>
      <family val="1"/>
    </font>
    <font>
      <i/>
      <sz val="10"/>
      <name val="Cambria"/>
      <family val="1"/>
    </font>
    <font>
      <i/>
      <vertAlign val="superscript"/>
      <sz val="10"/>
      <name val="Cambria"/>
      <family val="1"/>
    </font>
    <font>
      <sz val="10"/>
      <name val="Arial"/>
      <family val="2"/>
    </font>
    <font>
      <sz val="8"/>
      <color theme="1" tint="0.3499862666707357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2"/>
      <name val="Arial"/>
      <family val="2"/>
    </font>
    <font>
      <b/>
      <sz val="2"/>
      <name val="Arial"/>
      <family val="2"/>
    </font>
    <font>
      <b/>
      <sz val="14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0"/>
      <name val="Cambria"/>
      <family val="1"/>
    </font>
    <font>
      <sz val="4"/>
      <color theme="1"/>
      <name val="Arial"/>
      <family val="2"/>
    </font>
    <font>
      <sz val="4"/>
      <name val="Arial"/>
      <family val="2"/>
    </font>
    <font>
      <b/>
      <sz val="4"/>
      <color theme="1"/>
      <name val="Arial"/>
      <family val="2"/>
    </font>
    <font>
      <vertAlign val="superscript"/>
      <sz val="10"/>
      <name val="Cambria"/>
      <family val="1"/>
    </font>
    <font>
      <b/>
      <sz val="14"/>
      <color theme="1"/>
      <name val="Arial"/>
      <family val="2"/>
    </font>
    <font>
      <b/>
      <i/>
      <sz val="10"/>
      <color theme="1"/>
      <name val="Cambria"/>
      <family val="1"/>
    </font>
    <font>
      <b/>
      <sz val="10"/>
      <color theme="1"/>
      <name val="Cambria"/>
      <family val="1"/>
    </font>
    <font>
      <sz val="6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 Black"/>
      <family val="2"/>
    </font>
    <font>
      <b/>
      <vertAlign val="subscript"/>
      <sz val="12"/>
      <color theme="1"/>
      <name val="Arial Black"/>
      <family val="2"/>
    </font>
    <font>
      <sz val="2"/>
      <color rgb="FFC00000"/>
      <name val="Arial"/>
      <family val="2"/>
    </font>
    <font>
      <sz val="2"/>
      <color theme="1"/>
      <name val="Cambria"/>
      <family val="1"/>
    </font>
    <font>
      <sz val="2"/>
      <color theme="1"/>
      <name val="Arial"/>
      <family val="2"/>
    </font>
    <font>
      <b/>
      <sz val="2"/>
      <color theme="1"/>
      <name val="Arial"/>
      <family val="2"/>
    </font>
    <font>
      <sz val="8"/>
      <color rgb="FFC00000"/>
      <name val="Arial"/>
      <family val="2"/>
    </font>
    <font>
      <sz val="10"/>
      <color theme="1"/>
      <name val="Cambria"/>
      <family val="1"/>
    </font>
    <font>
      <sz val="10"/>
      <color theme="1" tint="0.499984740745262"/>
      <name val="Cambria"/>
      <family val="1"/>
    </font>
    <font>
      <sz val="10"/>
      <color theme="1" tint="0.499984740745262"/>
      <name val="Arial"/>
      <family val="2"/>
    </font>
    <font>
      <sz val="8"/>
      <color theme="1" tint="0.499984740745262"/>
      <name val="Arial"/>
      <family val="2"/>
    </font>
    <font>
      <b/>
      <sz val="8"/>
      <color rgb="FFC00000"/>
      <name val="Arial"/>
      <family val="2"/>
    </font>
    <font>
      <sz val="8"/>
      <color rgb="FF0070C0"/>
      <name val="Arial"/>
      <family val="2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2"/>
      <name val="Cambria"/>
      <family val="1"/>
    </font>
    <font>
      <sz val="8"/>
      <color theme="1"/>
      <name val="Arial Black"/>
      <family val="2"/>
    </font>
    <font>
      <i/>
      <sz val="10"/>
      <color rgb="FFC00000"/>
      <name val="Cambria"/>
      <family val="1"/>
    </font>
    <font>
      <i/>
      <vertAlign val="superscript"/>
      <sz val="10"/>
      <color rgb="FFC00000"/>
      <name val="Cambria"/>
      <family val="1"/>
    </font>
    <font>
      <sz val="10"/>
      <color rgb="FFC00000"/>
      <name val="Arial"/>
      <family val="2"/>
    </font>
    <font>
      <sz val="10"/>
      <color rgb="FFC00000"/>
      <name val="Cambria"/>
      <family val="1"/>
    </font>
    <font>
      <sz val="11"/>
      <color theme="1"/>
      <name val="Calibri"/>
      <family val="2"/>
      <scheme val="minor"/>
    </font>
    <font>
      <b/>
      <vertAlign val="superscript"/>
      <sz val="10"/>
      <color theme="1"/>
      <name val="Arial Black"/>
      <family val="2"/>
    </font>
    <font>
      <sz val="10"/>
      <color theme="1"/>
      <name val="Arial Black"/>
      <family val="2"/>
    </font>
    <font>
      <b/>
      <sz val="10"/>
      <name val="Arial Black"/>
      <family val="2"/>
    </font>
    <font>
      <b/>
      <vertAlign val="subscript"/>
      <sz val="10"/>
      <name val="Arial Black"/>
      <family val="2"/>
    </font>
    <font>
      <sz val="10"/>
      <color rgb="FF0070C0"/>
      <name val="Cambria"/>
      <family val="1"/>
    </font>
    <font>
      <sz val="10"/>
      <name val="Arial Black"/>
      <family val="2"/>
    </font>
    <font>
      <sz val="11"/>
      <name val="Arial"/>
      <family val="2"/>
    </font>
    <font>
      <sz val="12"/>
      <color theme="1"/>
      <name val="Arial Black"/>
      <family val="2"/>
    </font>
    <font>
      <i/>
      <sz val="10"/>
      <name val="Arial"/>
      <family val="2"/>
    </font>
    <font>
      <i/>
      <sz val="10"/>
      <color theme="1"/>
      <name val="Cambria"/>
      <family val="1"/>
    </font>
    <font>
      <i/>
      <vertAlign val="superscript"/>
      <sz val="10"/>
      <color theme="1"/>
      <name val="Cambria"/>
      <family val="1"/>
    </font>
    <font>
      <i/>
      <sz val="10"/>
      <color rgb="FF0070C0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i/>
      <sz val="10"/>
      <name val="Cambria"/>
      <family val="1"/>
    </font>
    <font>
      <b/>
      <i/>
      <vertAlign val="superscript"/>
      <sz val="10"/>
      <name val="Cambria"/>
      <family val="1"/>
    </font>
    <font>
      <i/>
      <vertAlign val="superscript"/>
      <sz val="8"/>
      <name val="Cambria"/>
      <family val="1"/>
    </font>
    <font>
      <b/>
      <i/>
      <vertAlign val="superscript"/>
      <sz val="10"/>
      <color theme="1" tint="0.34998626667073579"/>
      <name val="Cambria"/>
      <family val="1"/>
    </font>
    <font>
      <vertAlign val="subscript"/>
      <sz val="10"/>
      <color theme="1"/>
      <name val="Arial Black"/>
      <family val="2"/>
    </font>
    <font>
      <b/>
      <vertAlign val="subscript"/>
      <sz val="10"/>
      <color theme="1"/>
      <name val="Arial"/>
      <family val="2"/>
    </font>
    <font>
      <i/>
      <vertAlign val="superscript"/>
      <sz val="10"/>
      <color theme="1" tint="0.499984740745262"/>
      <name val="Cambria"/>
      <family val="1"/>
    </font>
    <font>
      <b/>
      <i/>
      <sz val="10"/>
      <color theme="1" tint="0.499984740745262"/>
      <name val="Cambria"/>
      <family val="1"/>
    </font>
    <font>
      <b/>
      <sz val="10"/>
      <color theme="1" tint="0.499984740745262"/>
      <name val="Cambria"/>
      <family val="1"/>
    </font>
    <font>
      <i/>
      <sz val="10"/>
      <color theme="1" tint="0.499984740745262"/>
      <name val="Cambria"/>
      <family val="1"/>
    </font>
    <font>
      <i/>
      <vertAlign val="superscript"/>
      <sz val="8"/>
      <color theme="1" tint="0.499984740745262"/>
      <name val="Cambria"/>
      <family val="1"/>
    </font>
    <font>
      <b/>
      <i/>
      <vertAlign val="superscript"/>
      <sz val="10"/>
      <color theme="1" tint="0.499984740745262"/>
      <name val="Cambria"/>
      <family val="1"/>
    </font>
    <font>
      <b/>
      <vertAlign val="subscript"/>
      <sz val="10"/>
      <name val="Arial"/>
      <family val="2"/>
    </font>
    <font>
      <sz val="8"/>
      <color theme="1" tint="0.499984740745262"/>
      <name val="Cambria"/>
      <family val="1"/>
    </font>
    <font>
      <b/>
      <sz val="8"/>
      <color theme="1" tint="0.499984740745262"/>
      <name val="Cambria"/>
      <family val="1"/>
    </font>
    <font>
      <b/>
      <i/>
      <sz val="8"/>
      <color theme="1" tint="0.499984740745262"/>
      <name val="Cambria"/>
      <family val="1"/>
    </font>
    <font>
      <i/>
      <sz val="8"/>
      <color theme="1" tint="0.499984740745262"/>
      <name val="Cambria"/>
      <family val="1"/>
    </font>
    <font>
      <b/>
      <sz val="8"/>
      <color theme="1" tint="0.499984740745262"/>
      <name val="Arial"/>
      <family val="2"/>
    </font>
    <font>
      <sz val="4"/>
      <color rgb="FFC00000"/>
      <name val="Arial"/>
      <family val="2"/>
    </font>
    <font>
      <sz val="4"/>
      <color theme="1"/>
      <name val="Cambria"/>
      <family val="1"/>
    </font>
    <font>
      <b/>
      <sz val="4"/>
      <color rgb="FFFF0000"/>
      <name val="Arial"/>
      <family val="2"/>
    </font>
    <font>
      <b/>
      <sz val="8"/>
      <color theme="1"/>
      <name val="Arial Black"/>
      <family val="2"/>
    </font>
    <font>
      <b/>
      <vertAlign val="superscript"/>
      <sz val="10"/>
      <name val="Cambria"/>
      <family val="1"/>
    </font>
    <font>
      <i/>
      <sz val="2"/>
      <name val="Cambria"/>
      <family val="1"/>
    </font>
    <font>
      <b/>
      <i/>
      <vertAlign val="superscript"/>
      <sz val="8"/>
      <color theme="1" tint="0.499984740745262"/>
      <name val="Cambria"/>
      <family val="1"/>
    </font>
    <font>
      <b/>
      <vertAlign val="superscript"/>
      <sz val="10"/>
      <name val="Arial Black"/>
      <family val="2"/>
    </font>
    <font>
      <b/>
      <i/>
      <vertAlign val="superscript"/>
      <sz val="10"/>
      <color theme="1"/>
      <name val="Cambria"/>
      <family val="1"/>
    </font>
    <font>
      <b/>
      <vertAlign val="superscript"/>
      <sz val="10"/>
      <color theme="1"/>
      <name val="Cambria"/>
      <family val="1"/>
    </font>
    <font>
      <b/>
      <sz val="10"/>
      <color rgb="FF002060"/>
      <name val="Cambria"/>
      <family val="1"/>
    </font>
    <font>
      <b/>
      <i/>
      <sz val="10"/>
      <color rgb="FF002060"/>
      <name val="Cambria"/>
      <family val="1"/>
    </font>
    <font>
      <b/>
      <i/>
      <vertAlign val="superscript"/>
      <sz val="10"/>
      <color rgb="FF002060"/>
      <name val="Cambria"/>
      <family val="1"/>
    </font>
    <font>
      <sz val="10"/>
      <color rgb="FF002060"/>
      <name val="Arial"/>
      <family val="2"/>
    </font>
    <font>
      <b/>
      <vertAlign val="superscript"/>
      <sz val="10"/>
      <color rgb="FF002060"/>
      <name val="Cambria"/>
      <family val="1"/>
    </font>
    <font>
      <sz val="2"/>
      <color theme="1" tint="0.499984740745262"/>
      <name val="Arial"/>
      <family val="2"/>
    </font>
    <font>
      <sz val="10"/>
      <color theme="0"/>
      <name val="Arial"/>
      <family val="2"/>
    </font>
    <font>
      <sz val="14"/>
      <color theme="0"/>
      <name val="Arial Black"/>
      <family val="2"/>
    </font>
    <font>
      <sz val="10"/>
      <color theme="0"/>
      <name val="Arial Black"/>
      <family val="2"/>
    </font>
    <font>
      <sz val="4"/>
      <color theme="1" tint="0.499984740745262"/>
      <name val="Arial"/>
      <family val="2"/>
    </font>
    <font>
      <sz val="20"/>
      <color rgb="FF002060"/>
      <name val="Arial Black"/>
      <family val="2"/>
    </font>
    <font>
      <sz val="8"/>
      <color theme="0"/>
      <name val="Arial Black"/>
      <family val="2"/>
    </font>
    <font>
      <sz val="8"/>
      <color theme="0"/>
      <name val="Arial"/>
      <family val="2"/>
    </font>
    <font>
      <sz val="10"/>
      <color theme="0"/>
      <name val="Cambria"/>
      <family val="1"/>
    </font>
    <font>
      <i/>
      <sz val="10"/>
      <color theme="0"/>
      <name val="Cambria"/>
      <family val="1"/>
    </font>
    <font>
      <b/>
      <sz val="12"/>
      <color theme="1"/>
      <name val="Arial"/>
      <family val="2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8" tint="-0.499984740745262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color theme="0" tint="-0.499984740745262"/>
      <name val="Calibri"/>
      <family val="2"/>
      <scheme val="minor"/>
    </font>
    <font>
      <b/>
      <i/>
      <sz val="10"/>
      <color theme="1"/>
      <name val="Calibri"/>
      <family val="2"/>
    </font>
    <font>
      <b/>
      <i/>
      <sz val="10"/>
      <color theme="1"/>
      <name val="Cambria"/>
      <family val="2"/>
    </font>
    <font>
      <vertAlign val="superscript"/>
      <sz val="10"/>
      <color theme="1"/>
      <name val="Cambria"/>
      <family val="1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6"/>
      <color rgb="FFC00000"/>
      <name val="Calibri"/>
      <family val="2"/>
      <scheme val="minor"/>
    </font>
    <font>
      <b/>
      <sz val="16"/>
      <color theme="8" tint="-0.249977111117893"/>
      <name val="Calibri"/>
      <family val="2"/>
      <scheme val="minor"/>
    </font>
    <font>
      <b/>
      <sz val="16"/>
      <color theme="5" tint="-0.499984740745262"/>
      <name val="Calibri"/>
      <family val="2"/>
      <scheme val="minor"/>
    </font>
    <font>
      <b/>
      <sz val="16"/>
      <color theme="5" tint="-0.249977111117893"/>
      <name val="Calibri"/>
      <family val="2"/>
      <scheme val="minor"/>
    </font>
    <font>
      <b/>
      <sz val="16"/>
      <color rgb="FFCD5C5C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20"/>
      <color theme="1" tint="0.499984740745262"/>
      <name val="Calibri"/>
      <family val="2"/>
      <scheme val="minor"/>
    </font>
    <font>
      <sz val="16"/>
      <color theme="1" tint="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499984740745262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vertAlign val="superscript"/>
      <sz val="10"/>
      <name val="Arial"/>
      <family val="2"/>
    </font>
    <font>
      <i/>
      <vertAlign val="superscript"/>
      <sz val="10"/>
      <name val="Arial"/>
      <family val="2"/>
    </font>
    <font>
      <i/>
      <vertAlign val="superscript"/>
      <sz val="10"/>
      <name val="Calibri"/>
      <family val="2"/>
    </font>
    <font>
      <sz val="10"/>
      <color rgb="FF00B050"/>
      <name val="Arial"/>
      <family val="2"/>
    </font>
    <font>
      <vertAlign val="subscript"/>
      <sz val="10"/>
      <color theme="1"/>
      <name val="Cambria"/>
      <family val="1"/>
    </font>
    <font>
      <sz val="10"/>
      <color theme="1"/>
      <name val="Cambria"/>
      <family val="2"/>
    </font>
    <font>
      <vertAlign val="superscript"/>
      <sz val="10"/>
      <color theme="1" tint="0.499984740745262"/>
      <name val="Cambria"/>
      <family val="1"/>
    </font>
    <font>
      <sz val="11"/>
      <color theme="1" tint="0.499984740745262"/>
      <name val="Calibri"/>
      <family val="2"/>
      <scheme val="minor"/>
    </font>
    <font>
      <i/>
      <vertAlign val="superscript"/>
      <sz val="10"/>
      <color rgb="FF0070C0"/>
      <name val="Cambria"/>
      <family val="1"/>
    </font>
    <font>
      <i/>
      <sz val="10"/>
      <color rgb="FF0070C0"/>
      <name val="Cambria"/>
      <family val="1"/>
    </font>
    <font>
      <i/>
      <sz val="10"/>
      <color rgb="FF00B050"/>
      <name val="Cambria"/>
      <family val="1"/>
    </font>
    <font>
      <i/>
      <vertAlign val="superscript"/>
      <sz val="10"/>
      <color rgb="FF00B050"/>
      <name val="Cambria"/>
      <family val="1"/>
    </font>
    <font>
      <vertAlign val="superscript"/>
      <sz val="10"/>
      <color rgb="FF0070C0"/>
      <name val="Cambria"/>
      <family val="1"/>
    </font>
    <font>
      <i/>
      <sz val="11"/>
      <color rgb="FF0070C0"/>
      <name val="Calibri"/>
      <family val="2"/>
      <scheme val="minor"/>
    </font>
    <font>
      <i/>
      <vertAlign val="superscript"/>
      <sz val="11"/>
      <color rgb="FF0070C0"/>
      <name val="Calibri"/>
      <family val="2"/>
      <scheme val="minor"/>
    </font>
    <font>
      <sz val="10"/>
      <color rgb="FF00B050"/>
      <name val="Cambria"/>
      <family val="1"/>
    </font>
    <font>
      <vertAlign val="subscript"/>
      <sz val="10"/>
      <color rgb="FF00B050"/>
      <name val="Cambria"/>
      <family val="1"/>
    </font>
    <font>
      <sz val="10"/>
      <color rgb="FF0070C0"/>
      <name val="Cambria"/>
      <family val="2"/>
    </font>
    <font>
      <sz val="10"/>
      <color theme="1" tint="0.499984740745262"/>
      <name val="Abadi"/>
      <family val="2"/>
    </font>
    <font>
      <i/>
      <vertAlign val="subscript"/>
      <sz val="10"/>
      <color theme="1" tint="0.499984740745262"/>
      <name val="Cambria"/>
      <family val="1"/>
    </font>
    <font>
      <b/>
      <sz val="14"/>
      <name val="Times New Roman"/>
      <family val="1"/>
    </font>
    <font>
      <b/>
      <sz val="10"/>
      <color rgb="FF0070C0"/>
      <name val="Arial"/>
      <family val="2"/>
    </font>
    <font>
      <b/>
      <vertAlign val="subscript"/>
      <sz val="10"/>
      <color theme="1"/>
      <name val="Cambria"/>
      <family val="1"/>
    </font>
    <font>
      <sz val="4"/>
      <color theme="1"/>
      <name val="Calibri"/>
      <family val="2"/>
      <scheme val="minor"/>
    </font>
    <font>
      <b/>
      <sz val="10"/>
      <color rgb="FF0070C0"/>
      <name val="Cambria"/>
      <family val="1"/>
    </font>
    <font>
      <b/>
      <i/>
      <vertAlign val="superscript"/>
      <sz val="10"/>
      <color rgb="FF0070C0"/>
      <name val="Cambria"/>
      <family val="1"/>
    </font>
    <font>
      <b/>
      <sz val="10"/>
      <color theme="1"/>
      <name val="Cambria"/>
      <family val="2"/>
    </font>
    <font>
      <sz val="9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u/>
      <sz val="9"/>
      <color theme="10"/>
      <name val="Times New Roman"/>
      <family val="1"/>
    </font>
    <font>
      <sz val="11"/>
      <color theme="1"/>
      <name val="Arial Black"/>
      <family val="2"/>
    </font>
    <font>
      <b/>
      <sz val="11"/>
      <color theme="1"/>
      <name val="Arial Black"/>
      <family val="2"/>
    </font>
    <font>
      <b/>
      <vertAlign val="subscript"/>
      <sz val="10"/>
      <color rgb="FF0070C0"/>
      <name val="Arial Black"/>
      <family val="2"/>
    </font>
    <font>
      <b/>
      <vertAlign val="subscript"/>
      <sz val="10"/>
      <color rgb="FF0070C0"/>
      <name val="Arial"/>
      <family val="2"/>
    </font>
    <font>
      <sz val="2"/>
      <color rgb="FF0070C0"/>
      <name val="Arial"/>
      <family val="2"/>
    </font>
    <font>
      <b/>
      <i/>
      <sz val="10"/>
      <color rgb="FF0070C0"/>
      <name val="Cambria"/>
      <family val="1"/>
    </font>
    <font>
      <i/>
      <sz val="2"/>
      <color rgb="FF0070C0"/>
      <name val="Cambria"/>
      <family val="1"/>
    </font>
    <font>
      <b/>
      <vertAlign val="superscript"/>
      <sz val="10"/>
      <color rgb="FF0070C0"/>
      <name val="Arial Black"/>
      <family val="2"/>
    </font>
    <font>
      <b/>
      <sz val="8"/>
      <color rgb="FF0070C0"/>
      <name val="Arial"/>
      <family val="2"/>
    </font>
    <font>
      <b/>
      <vertAlign val="superscript"/>
      <sz val="10"/>
      <color rgb="FF0070C0"/>
      <name val="Cambria"/>
      <family val="1"/>
    </font>
    <font>
      <sz val="10"/>
      <color theme="1" tint="0.249977111117893"/>
      <name val="Arial"/>
      <family val="2"/>
    </font>
    <font>
      <sz val="10"/>
      <color theme="1" tint="0.249977111117893"/>
      <name val="Cambria"/>
      <family val="1"/>
    </font>
    <font>
      <vertAlign val="superscript"/>
      <sz val="10"/>
      <color theme="1" tint="0.249977111117893"/>
      <name val="Cambria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0"/>
      <color theme="1"/>
      <name val="Arial"/>
      <family val="2"/>
    </font>
    <font>
      <vertAlign val="superscript"/>
      <sz val="10"/>
      <color rgb="FF00B050"/>
      <name val="Arial"/>
      <family val="2"/>
    </font>
    <font>
      <sz val="11"/>
      <color theme="1"/>
      <name val="Arial"/>
      <family val="2"/>
    </font>
    <font>
      <i/>
      <sz val="10"/>
      <color theme="1"/>
      <name val="Arial"/>
      <family val="2"/>
    </font>
    <font>
      <sz val="9"/>
      <color theme="2" tint="-0.499984740745262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3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auto="1"/>
      </right>
      <top/>
      <bottom/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hair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rgb="FFC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rgb="FFC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rgb="FFC00000"/>
      </bottom>
      <diagonal/>
    </border>
    <border>
      <left style="medium">
        <color indexed="64"/>
      </left>
      <right style="thin">
        <color indexed="64"/>
      </right>
      <top style="thick">
        <color rgb="FFC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C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rgb="FFC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rgb="FFC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rgb="FFC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C0000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rgb="FFC00000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rgb="FFC00000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ck">
        <color rgb="FFC00000"/>
      </bottom>
      <diagonal/>
    </border>
    <border>
      <left style="thin">
        <color indexed="64"/>
      </left>
      <right style="thin">
        <color indexed="64"/>
      </right>
      <top style="thick">
        <color rgb="FFC00000"/>
      </top>
      <bottom style="thin">
        <color indexed="64"/>
      </bottom>
      <diagonal/>
    </border>
    <border>
      <left style="thin">
        <color indexed="64"/>
      </left>
      <right/>
      <top style="thick">
        <color rgb="FFC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C00000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rgb="FFC00000"/>
      </bottom>
      <diagonal/>
    </border>
    <border>
      <left style="medium">
        <color indexed="64"/>
      </left>
      <right style="medium">
        <color indexed="64"/>
      </right>
      <top style="thick">
        <color rgb="FFC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rgb="FFFF0000"/>
      </bottom>
      <diagonal/>
    </border>
    <border>
      <left style="medium">
        <color indexed="64"/>
      </left>
      <right style="thin">
        <color indexed="64"/>
      </right>
      <top style="thick">
        <color rgb="FFFF0000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ck">
        <color rgb="FFFF0000"/>
      </bottom>
      <diagonal/>
    </border>
    <border>
      <left style="thin">
        <color indexed="64"/>
      </left>
      <right style="medium">
        <color indexed="64"/>
      </right>
      <top style="thick">
        <color rgb="FFFF0000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 style="medium">
        <color indexed="64"/>
      </right>
      <top style="thick">
        <color rgb="FFFF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FF0000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auto="1"/>
      </right>
      <top/>
      <bottom style="medium">
        <color indexed="64"/>
      </bottom>
      <diagonal/>
    </border>
    <border>
      <left style="medium">
        <color rgb="FF002060"/>
      </left>
      <right style="thin">
        <color rgb="FF002060"/>
      </right>
      <top style="thin">
        <color indexed="64"/>
      </top>
      <bottom style="medium">
        <color rgb="FF002060"/>
      </bottom>
      <diagonal/>
    </border>
    <border>
      <left style="thin">
        <color rgb="FF002060"/>
      </left>
      <right style="medium">
        <color rgb="FF002060"/>
      </right>
      <top style="medium">
        <color indexed="64"/>
      </top>
      <bottom style="medium">
        <color rgb="FF002060"/>
      </bottom>
      <diagonal/>
    </border>
    <border>
      <left style="medium">
        <color rgb="FF002060"/>
      </left>
      <right style="thin">
        <color rgb="FF002060"/>
      </right>
      <top style="medium">
        <color rgb="FF002060"/>
      </top>
      <bottom style="thin">
        <color rgb="FF002060"/>
      </bottom>
      <diagonal/>
    </border>
    <border>
      <left style="thin">
        <color rgb="FF002060"/>
      </left>
      <right style="medium">
        <color rgb="FF002060"/>
      </right>
      <top style="medium">
        <color rgb="FF002060"/>
      </top>
      <bottom style="thin">
        <color rgb="FF002060"/>
      </bottom>
      <diagonal/>
    </border>
    <border>
      <left style="medium">
        <color rgb="FF002060"/>
      </left>
      <right style="thin">
        <color rgb="FF002060"/>
      </right>
      <top style="thin">
        <color rgb="FF002060"/>
      </top>
      <bottom style="thick">
        <color rgb="FFC00000"/>
      </bottom>
      <diagonal/>
    </border>
    <border>
      <left style="thin">
        <color rgb="FF002060"/>
      </left>
      <right style="medium">
        <color rgb="FF002060"/>
      </right>
      <top style="thin">
        <color rgb="FF002060"/>
      </top>
      <bottom style="thick">
        <color rgb="FFC00000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rgb="FFFF0000"/>
      </bottom>
      <diagonal/>
    </border>
    <border>
      <left/>
      <right style="medium">
        <color indexed="64"/>
      </right>
      <top style="hair">
        <color rgb="FFFF0000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rgb="FFFF0000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ck">
        <color rgb="FFFF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 style="thin">
        <color rgb="FF002060"/>
      </right>
      <top style="medium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ck">
        <color rgb="FFC00000"/>
      </bottom>
      <diagonal/>
    </border>
    <border>
      <left/>
      <right style="thin">
        <color rgb="FF002060"/>
      </right>
      <top style="thin">
        <color indexed="64"/>
      </top>
      <bottom style="medium">
        <color rgb="FF002060"/>
      </bottom>
      <diagonal/>
    </border>
    <border>
      <left style="medium">
        <color theme="8" tint="-0.499984740745262"/>
      </left>
      <right style="thin">
        <color rgb="FF002060"/>
      </right>
      <top style="medium">
        <color theme="8" tint="-0.499984740745262"/>
      </top>
      <bottom style="thin">
        <color rgb="FF002060"/>
      </bottom>
      <diagonal/>
    </border>
    <border>
      <left style="thin">
        <color rgb="FF002060"/>
      </left>
      <right style="medium">
        <color theme="8" tint="-0.499984740745262"/>
      </right>
      <top style="medium">
        <color theme="8" tint="-0.499984740745262"/>
      </top>
      <bottom style="thin">
        <color rgb="FF002060"/>
      </bottom>
      <diagonal/>
    </border>
    <border>
      <left style="medium">
        <color theme="8" tint="-0.499984740745262"/>
      </left>
      <right style="thin">
        <color rgb="FF002060"/>
      </right>
      <top style="thin">
        <color rgb="FF002060"/>
      </top>
      <bottom style="thick">
        <color rgb="FFC00000"/>
      </bottom>
      <diagonal/>
    </border>
    <border>
      <left style="thin">
        <color rgb="FF002060"/>
      </left>
      <right style="medium">
        <color theme="8" tint="-0.499984740745262"/>
      </right>
      <top style="thin">
        <color rgb="FF002060"/>
      </top>
      <bottom style="thick">
        <color rgb="FFC00000"/>
      </bottom>
      <diagonal/>
    </border>
    <border>
      <left style="medium">
        <color theme="8" tint="-0.499984740745262"/>
      </left>
      <right style="thin">
        <color rgb="FF002060"/>
      </right>
      <top style="thin">
        <color indexed="64"/>
      </top>
      <bottom style="medium">
        <color theme="8" tint="-0.499984740745262"/>
      </bottom>
      <diagonal/>
    </border>
    <border>
      <left style="thin">
        <color rgb="FF002060"/>
      </left>
      <right style="medium">
        <color theme="8" tint="-0.499984740745262"/>
      </right>
      <top style="medium">
        <color indexed="64"/>
      </top>
      <bottom style="medium">
        <color theme="8" tint="-0.499984740745262"/>
      </bottom>
      <diagonal/>
    </border>
    <border>
      <left style="hair">
        <color indexed="64"/>
      </left>
      <right/>
      <top/>
      <bottom/>
      <diagonal/>
    </border>
    <border>
      <left style="medium">
        <color rgb="FF002060"/>
      </left>
      <right style="thin">
        <color theme="0"/>
      </right>
      <top style="medium">
        <color rgb="FF002060"/>
      </top>
      <bottom style="medium">
        <color rgb="FF002060"/>
      </bottom>
      <diagonal/>
    </border>
    <border>
      <left style="thin">
        <color theme="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/>
      <top/>
      <bottom style="thick">
        <color theme="8" tint="-0.499984740745262"/>
      </bottom>
      <diagonal/>
    </border>
    <border>
      <left/>
      <right/>
      <top style="thick">
        <color theme="8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ck">
        <color rgb="FF002060"/>
      </bottom>
      <diagonal/>
    </border>
    <border>
      <left style="thick">
        <color rgb="FF002060"/>
      </left>
      <right style="thick">
        <color rgb="FF002060"/>
      </right>
      <top style="thick">
        <color rgb="FF002060"/>
      </top>
      <bottom style="thick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/>
      </top>
      <bottom style="medium">
        <color rgb="FFFF0000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rgb="FFFF000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rgb="FFFF0000"/>
      </bottom>
      <diagonal/>
    </border>
    <border>
      <left style="thin">
        <color theme="0"/>
      </left>
      <right style="thin">
        <color theme="0"/>
      </right>
      <top style="medium">
        <color rgb="FFFF0000"/>
      </top>
      <bottom/>
      <diagonal/>
    </border>
    <border>
      <left style="thin">
        <color auto="1"/>
      </left>
      <right style="thin">
        <color theme="0" tint="-0.34998626667073579"/>
      </right>
      <top style="thin">
        <color indexed="64"/>
      </top>
      <bottom style="thin">
        <color auto="1"/>
      </bottom>
      <diagonal/>
    </border>
    <border>
      <left style="thin">
        <color theme="0" tint="-0.34998626667073579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theme="0" tint="-0.34998626667073579"/>
      </right>
      <top/>
      <bottom style="thin">
        <color theme="0"/>
      </bottom>
      <diagonal/>
    </border>
    <border>
      <left style="thin">
        <color theme="0" tint="-0.34998626667073579"/>
      </left>
      <right style="thin">
        <color auto="1"/>
      </right>
      <top/>
      <bottom style="thin">
        <color theme="0"/>
      </bottom>
      <diagonal/>
    </border>
    <border>
      <left style="thin">
        <color auto="1"/>
      </left>
      <right style="thin">
        <color theme="0" tint="-0.34998626667073579"/>
      </right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theme="0" tint="-0.34998626667073579"/>
      </right>
      <top style="thin">
        <color theme="0"/>
      </top>
      <bottom style="thin">
        <color auto="1"/>
      </bottom>
      <diagonal/>
    </border>
    <border>
      <left style="thin">
        <color theme="0" tint="-0.34998626667073579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auto="1"/>
      </left>
      <right style="thin">
        <color theme="0" tint="-0.34998626667073579"/>
      </right>
      <top style="thin">
        <color auto="1"/>
      </top>
      <bottom style="thin">
        <color theme="0"/>
      </bottom>
      <diagonal/>
    </border>
    <border>
      <left style="thin">
        <color theme="0" tint="-0.34998626667073579"/>
      </left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theme="0" tint="-0.34998626667073579"/>
      </right>
      <top style="thin">
        <color theme="0"/>
      </top>
      <bottom style="medium">
        <color rgb="FFFF0000"/>
      </bottom>
      <diagonal/>
    </border>
    <border>
      <left style="thin">
        <color theme="0" tint="-0.34998626667073579"/>
      </left>
      <right style="thin">
        <color auto="1"/>
      </right>
      <top style="thin">
        <color theme="0"/>
      </top>
      <bottom style="medium">
        <color rgb="FFFF0000"/>
      </bottom>
      <diagonal/>
    </border>
    <border>
      <left style="thin">
        <color auto="1"/>
      </left>
      <right style="thin">
        <color theme="0" tint="-0.34998626667073579"/>
      </right>
      <top style="medium">
        <color rgb="FFFF0000"/>
      </top>
      <bottom style="thin">
        <color theme="0"/>
      </bottom>
      <diagonal/>
    </border>
    <border>
      <left style="thin">
        <color theme="0" tint="-0.34998626667073579"/>
      </left>
      <right style="thin">
        <color auto="1"/>
      </right>
      <top style="medium">
        <color rgb="FFFF000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auto="1"/>
      </left>
      <right style="thin">
        <color theme="0" tint="-0.34998626667073579"/>
      </right>
      <top style="medium">
        <color rgb="FFFF0000"/>
      </top>
      <bottom style="thin">
        <color theme="0" tint="-4.9989318521683403E-2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rgb="FFFF0000"/>
      </top>
      <bottom style="thin">
        <color theme="0" tint="-4.9989318521683403E-2"/>
      </bottom>
      <diagonal/>
    </border>
    <border>
      <left style="thin">
        <color theme="0" tint="-0.34998626667073579"/>
      </left>
      <right style="thin">
        <color auto="1"/>
      </right>
      <top style="medium">
        <color rgb="FFFF0000"/>
      </top>
      <bottom style="thin">
        <color theme="0" tint="-4.9989318521683403E-2"/>
      </bottom>
      <diagonal/>
    </border>
    <border>
      <left style="thin">
        <color auto="1"/>
      </left>
      <right style="thin">
        <color theme="0" tint="-0.34998626667073579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34998626667073579"/>
      </left>
      <right style="thin">
        <color auto="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auto="1"/>
      </left>
      <right style="thin">
        <color theme="0" tint="-0.34998626667073579"/>
      </right>
      <top style="thin">
        <color theme="0" tint="-4.9989318521683403E-2"/>
      </top>
      <bottom style="medium">
        <color rgb="FFFF000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4.9989318521683403E-2"/>
      </top>
      <bottom style="medium">
        <color rgb="FFFF0000"/>
      </bottom>
      <diagonal/>
    </border>
    <border>
      <left style="thin">
        <color theme="0" tint="-0.34998626667073579"/>
      </left>
      <right style="thin">
        <color auto="1"/>
      </right>
      <top style="thin">
        <color theme="0" tint="-4.9989318521683403E-2"/>
      </top>
      <bottom style="medium">
        <color rgb="FFFF0000"/>
      </bottom>
      <diagonal/>
    </border>
    <border>
      <left style="thin">
        <color theme="0"/>
      </left>
      <right style="thin">
        <color theme="0" tint="-4.9989318521683403E-2"/>
      </right>
      <top style="medium">
        <color rgb="FFFF0000"/>
      </top>
      <bottom style="thin">
        <color theme="0" tint="-4.9989318521683403E-2"/>
      </bottom>
      <diagonal/>
    </border>
    <border>
      <left style="thin">
        <color theme="0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theme="0" tint="-4.9989318521683403E-2"/>
      </right>
      <top style="thin">
        <color theme="0" tint="-4.9989318521683403E-2"/>
      </top>
      <bottom style="medium">
        <color rgb="FFFF0000"/>
      </bottom>
      <diagonal/>
    </border>
    <border>
      <left style="thin">
        <color theme="0"/>
      </left>
      <right style="thin">
        <color theme="0"/>
      </right>
      <top style="thin">
        <color theme="0" tint="-0.499984740745262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499984740745262"/>
      </bottom>
      <diagonal/>
    </border>
    <border>
      <left style="thick">
        <color auto="1"/>
      </left>
      <right style="thin">
        <color theme="0"/>
      </right>
      <top style="thick">
        <color auto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auto="1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auto="1"/>
      </left>
      <right/>
      <top style="thin">
        <color theme="0"/>
      </top>
      <bottom style="thin">
        <color theme="0"/>
      </bottom>
      <diagonal/>
    </border>
    <border>
      <left/>
      <right style="thick">
        <color auto="1"/>
      </right>
      <top style="thin">
        <color theme="0"/>
      </top>
      <bottom style="thin">
        <color theme="0"/>
      </bottom>
      <diagonal/>
    </border>
    <border>
      <left style="thick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4.9989318521683403E-2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6795556505021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ck">
        <color auto="1"/>
      </right>
      <top style="thick">
        <color auto="1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indexed="64"/>
      </right>
      <top style="thin">
        <color theme="0" tint="-0.34998626667073579"/>
      </top>
      <bottom style="thin">
        <color theme="0"/>
      </bottom>
      <diagonal/>
    </border>
    <border>
      <left style="thin">
        <color auto="1"/>
      </left>
      <right style="thin">
        <color indexed="64"/>
      </right>
      <top style="thin">
        <color theme="0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rgb="FFFF0000"/>
      </top>
      <bottom style="thin">
        <color theme="0" tint="-4.9989318521683403E-2"/>
      </bottom>
      <diagonal/>
    </border>
    <border>
      <left style="thin">
        <color auto="1"/>
      </left>
      <right style="thin">
        <color auto="1"/>
      </right>
      <top style="thin">
        <color theme="0" tint="-4.9989318521683403E-2"/>
      </top>
      <bottom style="thin">
        <color rgb="FFFF0000"/>
      </bottom>
      <diagonal/>
    </border>
    <border>
      <left style="thin">
        <color auto="1"/>
      </left>
      <right/>
      <top style="thin">
        <color theme="0" tint="-0.34998626667073579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auto="1"/>
      </left>
      <right/>
      <top style="thin">
        <color theme="0"/>
      </top>
      <bottom style="thin">
        <color theme="0" tint="-0.34998626667073579"/>
      </bottom>
      <diagonal/>
    </border>
    <border>
      <left style="thin">
        <color auto="1"/>
      </left>
      <right/>
      <top style="thin">
        <color rgb="FFFF0000"/>
      </top>
      <bottom style="thin">
        <color theme="0" tint="-4.9989318521683403E-2"/>
      </bottom>
      <diagonal/>
    </border>
    <border>
      <left style="thin">
        <color auto="1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auto="1"/>
      </left>
      <right/>
      <top style="thin">
        <color theme="0" tint="-4.9989318521683403E-2"/>
      </top>
      <bottom style="thin">
        <color rgb="FFFF0000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 style="medium">
        <color theme="8" tint="-0.499984740745262"/>
      </left>
      <right style="medium">
        <color theme="8" tint="-0.499984740745262"/>
      </right>
      <top style="medium">
        <color theme="8" tint="-0.499984740745262"/>
      </top>
      <bottom/>
      <diagonal/>
    </border>
    <border>
      <left style="medium">
        <color theme="8" tint="-0.499984740745262"/>
      </left>
      <right style="medium">
        <color theme="8" tint="-0.499984740745262"/>
      </right>
      <top/>
      <bottom style="thin">
        <color indexed="64"/>
      </bottom>
      <diagonal/>
    </border>
    <border>
      <left style="medium">
        <color theme="8" tint="-0.499984740745262"/>
      </left>
      <right style="medium">
        <color theme="8" tint="-0.499984740745262"/>
      </right>
      <top style="thin">
        <color indexed="64"/>
      </top>
      <bottom/>
      <diagonal/>
    </border>
    <border>
      <left style="medium">
        <color theme="8" tint="-0.499984740745262"/>
      </left>
      <right style="medium">
        <color theme="8" tint="-0.499984740745262"/>
      </right>
      <top/>
      <bottom/>
      <diagonal/>
    </border>
    <border>
      <left style="medium">
        <color theme="8" tint="-0.499984740745262"/>
      </left>
      <right style="medium">
        <color theme="8" tint="-0.499984740745262"/>
      </right>
      <top/>
      <bottom style="medium">
        <color theme="8" tint="-0.499984740745262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 style="thin">
        <color auto="1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auto="1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0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rgb="FFFF0000"/>
      </top>
      <bottom style="thin">
        <color theme="0" tint="-4.9989318521683403E-2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0" tint="-4.9989318521683403E-2"/>
      </top>
      <bottom style="medium">
        <color rgb="FFFF0000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thin">
        <color theme="8" tint="-0.24994659260841701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theme="5" tint="-0.499984740745262"/>
      </top>
      <bottom/>
      <diagonal/>
    </border>
    <border>
      <left style="medium">
        <color theme="5" tint="-0.499984740745262"/>
      </left>
      <right style="medium">
        <color theme="5" tint="-0.499984740745262"/>
      </right>
      <top/>
      <bottom style="thin">
        <color indexed="64"/>
      </bottom>
      <diagonal/>
    </border>
    <border>
      <left style="medium">
        <color theme="5" tint="-0.499984740745262"/>
      </left>
      <right style="medium">
        <color theme="5" tint="-0.499984740745262"/>
      </right>
      <top style="thin">
        <color indexed="64"/>
      </top>
      <bottom/>
      <diagonal/>
    </border>
    <border>
      <left style="medium">
        <color theme="5" tint="-0.499984740745262"/>
      </left>
      <right style="medium">
        <color theme="5" tint="-0.499984740745262"/>
      </right>
      <top/>
      <bottom/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rgb="FFFF0000"/>
      </top>
      <bottom/>
      <diagonal/>
    </border>
    <border>
      <left style="medium">
        <color theme="5" tint="-0.499984740745262"/>
      </left>
      <right style="medium">
        <color theme="5" tint="-0.499984740745262"/>
      </right>
      <top/>
      <bottom style="medium">
        <color rgb="FFFF0000"/>
      </bottom>
      <diagonal/>
    </border>
    <border>
      <left style="medium">
        <color theme="5" tint="-0.499984740745262"/>
      </left>
      <right style="medium">
        <color theme="5" tint="-0.499984740745262"/>
      </right>
      <top/>
      <bottom style="medium">
        <color theme="5" tint="-0.499984740745262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 style="medium">
        <color rgb="FFC00000"/>
      </right>
      <top/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thin">
        <color indexed="64"/>
      </top>
      <bottom/>
      <diagonal/>
    </border>
    <border>
      <left style="medium">
        <color rgb="FFC00000"/>
      </left>
      <right style="medium">
        <color rgb="FFC00000"/>
      </right>
      <top/>
      <bottom/>
      <diagonal/>
    </border>
    <border>
      <left style="medium">
        <color rgb="FFC00000"/>
      </left>
      <right style="medium">
        <color rgb="FFC00000"/>
      </right>
      <top/>
      <bottom style="medium">
        <color rgb="FFFF0000"/>
      </bottom>
      <diagonal/>
    </border>
    <border>
      <left style="medium">
        <color rgb="FFC00000"/>
      </left>
      <right style="medium">
        <color rgb="FFC00000"/>
      </right>
      <top style="medium">
        <color rgb="FFFF0000"/>
      </top>
      <bottom style="thin">
        <color theme="0" tint="-4.9989318521683403E-2"/>
      </bottom>
      <diagonal/>
    </border>
    <border>
      <left style="medium">
        <color rgb="FFC00000"/>
      </left>
      <right style="medium">
        <color rgb="FFC00000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rgb="FFC00000"/>
      </left>
      <right style="medium">
        <color rgb="FFC00000"/>
      </right>
      <top style="thin">
        <color theme="0" tint="-4.9989318521683403E-2"/>
      </top>
      <bottom style="medium">
        <color rgb="FFFF0000"/>
      </bottom>
      <diagonal/>
    </border>
    <border>
      <left style="medium">
        <color rgb="FFC00000"/>
      </left>
      <right style="medium">
        <color rgb="FFC00000"/>
      </right>
      <top style="medium">
        <color rgb="FFFF0000"/>
      </top>
      <bottom/>
      <diagonal/>
    </border>
    <border>
      <left style="medium">
        <color rgb="FFC00000"/>
      </left>
      <right style="medium">
        <color rgb="FFC00000"/>
      </right>
      <top/>
      <bottom style="medium">
        <color rgb="FFC00000"/>
      </bottom>
      <diagonal/>
    </border>
    <border>
      <left style="medium">
        <color theme="8" tint="-0.499984740745262"/>
      </left>
      <right style="medium">
        <color theme="8" tint="-0.499984740745262"/>
      </right>
      <top style="medium">
        <color rgb="FFFF0000"/>
      </top>
      <bottom/>
      <diagonal/>
    </border>
    <border>
      <left style="medium">
        <color theme="8" tint="-0.499984740745262"/>
      </left>
      <right style="medium">
        <color theme="8" tint="-0.499984740745262"/>
      </right>
      <top/>
      <bottom style="medium">
        <color rgb="FFFF0000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/>
      <top style="thin">
        <color indexed="64"/>
      </top>
      <bottom style="medium">
        <color rgb="FF00B050"/>
      </bottom>
      <diagonal/>
    </border>
    <border>
      <left style="medium">
        <color theme="1" tint="0.499984740745262"/>
      </left>
      <right style="medium">
        <color indexed="64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indexed="64"/>
      </left>
      <right style="medium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medium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0" tint="-4.9989318521683403E-2"/>
      </right>
      <top style="medium">
        <color indexed="64"/>
      </top>
      <bottom style="hair">
        <color indexed="64"/>
      </bottom>
      <diagonal/>
    </border>
    <border>
      <left style="medium">
        <color theme="0" tint="-4.9989318521683403E-2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theme="0" tint="-4.9989318521683403E-2"/>
      </right>
      <top style="hair">
        <color indexed="64"/>
      </top>
      <bottom style="hair">
        <color indexed="64"/>
      </bottom>
      <diagonal/>
    </border>
    <border>
      <left style="medium">
        <color theme="0" tint="-4.9989318521683403E-2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theme="0" tint="-4.9989318521683403E-2"/>
      </right>
      <top style="hair">
        <color indexed="64"/>
      </top>
      <bottom style="medium">
        <color theme="1" tint="0.499984740745262"/>
      </bottom>
      <diagonal/>
    </border>
    <border>
      <left style="medium">
        <color theme="0" tint="-4.9989318521683403E-2"/>
      </left>
      <right style="thin">
        <color indexed="64"/>
      </right>
      <top style="hair">
        <color indexed="64"/>
      </top>
      <bottom style="medium">
        <color theme="1" tint="0.499984740745262"/>
      </bottom>
      <diagonal/>
    </border>
    <border>
      <left style="medium">
        <color indexed="64"/>
      </left>
      <right style="medium">
        <color theme="0" tint="-4.9989318521683403E-2"/>
      </right>
      <top style="medium">
        <color theme="1" tint="0.499984740745262"/>
      </top>
      <bottom style="thick">
        <color rgb="FFFF0000"/>
      </bottom>
      <diagonal/>
    </border>
    <border>
      <left style="medium">
        <color theme="0" tint="-4.9989318521683403E-2"/>
      </left>
      <right style="thin">
        <color indexed="64"/>
      </right>
      <top style="medium">
        <color theme="1" tint="0.499984740745262"/>
      </top>
      <bottom style="thick">
        <color rgb="FFFF0000"/>
      </bottom>
      <diagonal/>
    </border>
    <border>
      <left style="medium">
        <color indexed="64"/>
      </left>
      <right style="medium">
        <color theme="0" tint="-4.9989318521683403E-2"/>
      </right>
      <top style="thick">
        <color rgb="FFFF0000"/>
      </top>
      <bottom style="medium">
        <color theme="1" tint="0.499984740745262"/>
      </bottom>
      <diagonal/>
    </border>
    <border>
      <left style="medium">
        <color theme="0" tint="-4.9989318521683403E-2"/>
      </left>
      <right style="thin">
        <color indexed="64"/>
      </right>
      <top style="thick">
        <color rgb="FFFF0000"/>
      </top>
      <bottom style="medium">
        <color theme="1" tint="0.499984740745262"/>
      </bottom>
      <diagonal/>
    </border>
    <border>
      <left style="medium">
        <color indexed="64"/>
      </left>
      <right style="medium">
        <color theme="0" tint="-4.9989318521683403E-2"/>
      </right>
      <top style="medium">
        <color theme="1" tint="0.499984740745262"/>
      </top>
      <bottom style="medium">
        <color indexed="64"/>
      </bottom>
      <diagonal/>
    </border>
    <border>
      <left style="medium">
        <color theme="0" tint="-4.9989318521683403E-2"/>
      </left>
      <right style="thin">
        <color indexed="64"/>
      </right>
      <top style="medium">
        <color theme="1" tint="0.499984740745262"/>
      </top>
      <bottom style="medium">
        <color indexed="64"/>
      </bottom>
      <diagonal/>
    </border>
    <border>
      <left style="thin">
        <color indexed="64"/>
      </left>
      <right style="medium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0" tint="-4.9989318521683403E-2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theme="0" tint="-4.9989318521683403E-2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theme="0" tint="-4.9989318521683403E-2"/>
      </right>
      <top style="hair">
        <color indexed="64"/>
      </top>
      <bottom style="medium">
        <color theme="1" tint="0.499984740745262"/>
      </bottom>
      <diagonal/>
    </border>
    <border>
      <left style="thin">
        <color indexed="64"/>
      </left>
      <right style="medium">
        <color theme="0" tint="-4.9989318521683403E-2"/>
      </right>
      <top style="medium">
        <color theme="1" tint="0.499984740745262"/>
      </top>
      <bottom style="thick">
        <color rgb="FFFF0000"/>
      </bottom>
      <diagonal/>
    </border>
    <border>
      <left style="thin">
        <color indexed="64"/>
      </left>
      <right style="medium">
        <color theme="0" tint="-4.9989318521683403E-2"/>
      </right>
      <top style="thick">
        <color rgb="FFFF0000"/>
      </top>
      <bottom style="medium">
        <color theme="1" tint="0.499984740745262"/>
      </bottom>
      <diagonal/>
    </border>
    <border>
      <left style="thin">
        <color indexed="64"/>
      </left>
      <right style="medium">
        <color theme="0" tint="-4.9989318521683403E-2"/>
      </right>
      <top style="medium">
        <color theme="1" tint="0.499984740745262"/>
      </top>
      <bottom style="medium">
        <color indexed="64"/>
      </bottom>
      <diagonal/>
    </border>
    <border>
      <left style="medium">
        <color theme="0" tint="-4.9989318521683403E-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 tint="-4.9989318521683403E-2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theme="0" tint="-4.9989318521683403E-2"/>
      </left>
      <right style="medium">
        <color indexed="64"/>
      </right>
      <top style="hair">
        <color indexed="64"/>
      </top>
      <bottom/>
      <diagonal/>
    </border>
    <border>
      <left style="medium">
        <color theme="0" tint="-4.9989318521683403E-2"/>
      </left>
      <right style="medium">
        <color indexed="64"/>
      </right>
      <top style="hair">
        <color indexed="64"/>
      </top>
      <bottom style="medium">
        <color theme="1" tint="0.499984740745262"/>
      </bottom>
      <diagonal/>
    </border>
    <border>
      <left style="medium">
        <color theme="0" tint="-4.9989318521683403E-2"/>
      </left>
      <right style="medium">
        <color indexed="64"/>
      </right>
      <top style="medium">
        <color theme="1" tint="0.499984740745262"/>
      </top>
      <bottom style="thick">
        <color rgb="FFFF0000"/>
      </bottom>
      <diagonal/>
    </border>
    <border>
      <left style="medium">
        <color theme="0" tint="-4.9989318521683403E-2"/>
      </left>
      <right style="medium">
        <color indexed="64"/>
      </right>
      <top style="thick">
        <color rgb="FFFF0000"/>
      </top>
      <bottom style="medium">
        <color theme="1" tint="0.499984740745262"/>
      </bottom>
      <diagonal/>
    </border>
    <border>
      <left style="medium">
        <color theme="0" tint="-4.9989318521683403E-2"/>
      </left>
      <right style="medium">
        <color indexed="64"/>
      </right>
      <top style="medium">
        <color theme="1" tint="0.499984740745262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ck">
        <color auto="1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auto="1"/>
      </right>
      <top style="thin">
        <color theme="0"/>
      </top>
      <bottom style="thick">
        <color theme="0"/>
      </bottom>
      <diagonal/>
    </border>
    <border>
      <left style="thick">
        <color auto="1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auto="1"/>
      </right>
      <top style="thick">
        <color theme="0"/>
      </top>
      <bottom style="thick">
        <color theme="0"/>
      </bottom>
      <diagonal/>
    </border>
    <border>
      <left style="thick">
        <color auto="1"/>
      </left>
      <right style="thick">
        <color theme="0"/>
      </right>
      <top style="thick">
        <color theme="0"/>
      </top>
      <bottom style="thick">
        <color auto="1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auto="1"/>
      </bottom>
      <diagonal/>
    </border>
    <border>
      <left style="thick">
        <color theme="0"/>
      </left>
      <right style="thick">
        <color auto="1"/>
      </right>
      <top style="thick">
        <color theme="0"/>
      </top>
      <bottom style="thick">
        <color auto="1"/>
      </bottom>
      <diagonal/>
    </border>
    <border>
      <left style="medium">
        <color theme="1" tint="0.499984740745262"/>
      </left>
      <right style="medium">
        <color indexed="64"/>
      </right>
      <top style="medium">
        <color theme="1" tint="0.499984740745262"/>
      </top>
      <bottom style="thick">
        <color rgb="FFFF0000"/>
      </bottom>
      <diagonal/>
    </border>
    <border>
      <left style="medium">
        <color theme="1" tint="0.499984740745262"/>
      </left>
      <right style="medium">
        <color indexed="64"/>
      </right>
      <top style="thick">
        <color rgb="FFFF0000"/>
      </top>
      <bottom style="medium">
        <color theme="1" tint="0.499984740745262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rgb="FF0070C0"/>
      </left>
      <right style="thin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rgb="FF0070C0"/>
      </left>
      <right style="thin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thin">
        <color rgb="FF0070C0"/>
      </right>
      <top style="medium">
        <color rgb="FF0070C0"/>
      </top>
      <bottom style="hair">
        <color rgb="FF0070C0"/>
      </bottom>
      <diagonal/>
    </border>
    <border>
      <left style="thin">
        <color rgb="FF0070C0"/>
      </left>
      <right style="thin">
        <color rgb="FF0070C0"/>
      </right>
      <top style="medium">
        <color rgb="FF0070C0"/>
      </top>
      <bottom style="hair">
        <color rgb="FF0070C0"/>
      </bottom>
      <diagonal/>
    </border>
    <border>
      <left style="thin">
        <color rgb="FF0070C0"/>
      </left>
      <right style="medium">
        <color rgb="FF0070C0"/>
      </right>
      <top style="medium">
        <color rgb="FF0070C0"/>
      </top>
      <bottom style="hair">
        <color rgb="FF0070C0"/>
      </bottom>
      <diagonal/>
    </border>
    <border>
      <left style="medium">
        <color rgb="FF0070C0"/>
      </left>
      <right style="thin">
        <color rgb="FF0070C0"/>
      </right>
      <top style="hair">
        <color rgb="FF0070C0"/>
      </top>
      <bottom style="medium">
        <color rgb="FF0070C0"/>
      </bottom>
      <diagonal/>
    </border>
    <border>
      <left style="thin">
        <color rgb="FF0070C0"/>
      </left>
      <right style="thin">
        <color rgb="FF0070C0"/>
      </right>
      <top style="hair">
        <color rgb="FF0070C0"/>
      </top>
      <bottom style="medium">
        <color rgb="FF0070C0"/>
      </bottom>
      <diagonal/>
    </border>
    <border>
      <left style="thin">
        <color rgb="FF0070C0"/>
      </left>
      <right style="medium">
        <color rgb="FF0070C0"/>
      </right>
      <top style="hair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hair">
        <color rgb="FF0070C0"/>
      </bottom>
      <diagonal/>
    </border>
    <border>
      <left style="medium">
        <color rgb="FF0070C0"/>
      </left>
      <right style="medium">
        <color rgb="FF0070C0"/>
      </right>
      <top style="hair">
        <color rgb="FF0070C0"/>
      </top>
      <bottom style="medium">
        <color rgb="FF0070C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ck">
        <color rgb="FFFF0000"/>
      </bottom>
      <diagonal/>
    </border>
    <border>
      <left style="medium">
        <color indexed="64"/>
      </left>
      <right style="hair">
        <color indexed="64"/>
      </right>
      <top style="thick">
        <color rgb="FFFF0000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auto="1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rgb="FFC00000"/>
      </right>
      <top style="medium">
        <color indexed="64"/>
      </top>
      <bottom style="hair">
        <color indexed="64"/>
      </bottom>
      <diagonal/>
    </border>
    <border>
      <left/>
      <right style="thick">
        <color rgb="FFC00000"/>
      </right>
      <top style="hair">
        <color indexed="64"/>
      </top>
      <bottom/>
      <diagonal/>
    </border>
    <border>
      <left/>
      <right style="thick">
        <color rgb="FFC00000"/>
      </right>
      <top style="hair">
        <color indexed="64"/>
      </top>
      <bottom style="hair">
        <color indexed="64"/>
      </bottom>
      <diagonal/>
    </border>
    <border>
      <left/>
      <right style="thick">
        <color rgb="FFC00000"/>
      </right>
      <top style="hair">
        <color indexed="64"/>
      </top>
      <bottom style="thick">
        <color rgb="FFFF0000"/>
      </bottom>
      <diagonal/>
    </border>
    <border>
      <left/>
      <right style="thick">
        <color rgb="FFC00000"/>
      </right>
      <top style="thick">
        <color rgb="FFFF0000"/>
      </top>
      <bottom style="hair">
        <color indexed="64"/>
      </bottom>
      <diagonal/>
    </border>
    <border>
      <left/>
      <right style="thick">
        <color rgb="FFC00000"/>
      </right>
      <top style="hair">
        <color indexed="64"/>
      </top>
      <bottom style="medium">
        <color indexed="64"/>
      </bottom>
      <diagonal/>
    </border>
    <border>
      <left style="hair">
        <color auto="1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indexed="64"/>
      </right>
      <top style="hair">
        <color indexed="64"/>
      </top>
      <bottom style="thick">
        <color rgb="FFFF0000"/>
      </bottom>
      <diagonal/>
    </border>
    <border>
      <left style="hair">
        <color auto="1"/>
      </left>
      <right style="hair">
        <color indexed="64"/>
      </right>
      <top style="thick">
        <color rgb="FFFF0000"/>
      </top>
      <bottom style="hair">
        <color indexed="64"/>
      </bottom>
      <diagonal/>
    </border>
    <border>
      <left style="hair">
        <color auto="1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ck">
        <color rgb="FFC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ck">
        <color rgb="FFFF0000"/>
      </top>
      <bottom style="medium">
        <color indexed="64"/>
      </bottom>
      <diagonal/>
    </border>
    <border>
      <left style="hair">
        <color auto="1"/>
      </left>
      <right style="hair">
        <color indexed="64"/>
      </right>
      <top style="thick">
        <color rgb="FFFF0000"/>
      </top>
      <bottom style="medium">
        <color indexed="64"/>
      </bottom>
      <diagonal/>
    </border>
    <border>
      <left/>
      <right style="thick">
        <color rgb="FFC00000"/>
      </right>
      <top style="thick">
        <color rgb="FFFF0000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ck">
        <color rgb="FFC00000"/>
      </right>
      <top style="medium">
        <color indexed="64"/>
      </top>
      <bottom style="hair">
        <color indexed="64"/>
      </bottom>
      <diagonal/>
    </border>
    <border>
      <left/>
      <right style="thick">
        <color rgb="FFC00000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auto="1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ck">
        <color rgb="FFC00000"/>
      </right>
      <top style="thick">
        <color rgb="FFFF0000"/>
      </top>
      <bottom style="hair">
        <color indexed="64"/>
      </bottom>
      <diagonal/>
    </border>
    <border>
      <left/>
      <right style="thick">
        <color rgb="FFC00000"/>
      </right>
      <top/>
      <bottom style="medium">
        <color indexed="64"/>
      </bottom>
      <diagonal/>
    </border>
    <border>
      <left style="hair">
        <color indexed="64"/>
      </left>
      <right style="thick">
        <color rgb="FFC00000"/>
      </right>
      <top style="thick">
        <color rgb="FFFF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thick">
        <color rgb="FFFF0000"/>
      </top>
      <bottom style="hair">
        <color indexed="64"/>
      </bottom>
      <diagonal/>
    </border>
    <border>
      <left style="medium">
        <color indexed="64"/>
      </left>
      <right style="thick">
        <color rgb="FFC00000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C00000"/>
      </right>
      <top style="hair">
        <color indexed="64"/>
      </top>
      <bottom/>
      <diagonal/>
    </border>
    <border>
      <left style="medium">
        <color indexed="64"/>
      </left>
      <right style="thick">
        <color rgb="FFC00000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rgb="FFC00000"/>
      </right>
      <top style="hair">
        <color indexed="64"/>
      </top>
      <bottom style="thick">
        <color rgb="FFFF0000"/>
      </bottom>
      <diagonal/>
    </border>
    <border>
      <left style="medium">
        <color indexed="64"/>
      </left>
      <right style="thick">
        <color rgb="FFC00000"/>
      </right>
      <top style="thick">
        <color rgb="FFFF0000"/>
      </top>
      <bottom style="hair">
        <color indexed="64"/>
      </bottom>
      <diagonal/>
    </border>
    <border>
      <left style="medium">
        <color indexed="64"/>
      </left>
      <right style="thick">
        <color rgb="FFC00000"/>
      </right>
      <top style="hair">
        <color indexed="64"/>
      </top>
      <bottom style="medium">
        <color indexed="64"/>
      </bottom>
      <diagonal/>
    </border>
    <border>
      <left style="thick">
        <color rgb="FFC00000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C00000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ck">
        <color rgb="FFC00000"/>
      </left>
      <right style="hair">
        <color indexed="64"/>
      </right>
      <top style="hair">
        <color indexed="64"/>
      </top>
      <bottom/>
      <diagonal/>
    </border>
    <border>
      <left style="thick">
        <color rgb="FFC00000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thick">
        <color rgb="FFC00000"/>
      </left>
      <right style="hair">
        <color indexed="64"/>
      </right>
      <top style="hair">
        <color indexed="64"/>
      </top>
      <bottom style="thick">
        <color rgb="FFFF0000"/>
      </bottom>
      <diagonal/>
    </border>
    <border>
      <left style="thick">
        <color rgb="FFC00000"/>
      </left>
      <right style="hair">
        <color indexed="64"/>
      </right>
      <top style="thick">
        <color rgb="FFFF0000"/>
      </top>
      <bottom style="hair">
        <color indexed="64"/>
      </bottom>
      <diagonal/>
    </border>
    <border>
      <left style="thick">
        <color rgb="FFC00000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ck">
        <color rgb="FFFF0000"/>
      </bottom>
      <diagonal/>
    </border>
    <border>
      <left/>
      <right style="medium">
        <color indexed="64"/>
      </right>
      <top style="thick">
        <color rgb="FFFF0000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63" fillId="0" borderId="0" applyFont="0" applyFill="0" applyBorder="0" applyAlignment="0" applyProtection="0"/>
    <xf numFmtId="0" fontId="180" fillId="0" borderId="0" applyNumberFormat="0" applyFill="0" applyBorder="0" applyAlignment="0" applyProtection="0"/>
    <xf numFmtId="43" fontId="63" fillId="0" borderId="0" applyFont="0" applyFill="0" applyBorder="0" applyAlignment="0" applyProtection="0"/>
  </cellStyleXfs>
  <cellXfs count="1222">
    <xf numFmtId="0" fontId="0" fillId="0" borderId="0" xfId="0"/>
    <xf numFmtId="0" fontId="13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164" fontId="13" fillId="0" borderId="0" xfId="0" applyNumberFormat="1" applyFont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10" fontId="16" fillId="0" borderId="0" xfId="0" applyNumberFormat="1" applyFont="1" applyAlignment="1">
      <alignment horizontal="center" vertical="center"/>
    </xf>
    <xf numFmtId="164" fontId="17" fillId="3" borderId="3" xfId="0" applyNumberFormat="1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14" fillId="0" borderId="20" xfId="0" applyFont="1" applyBorder="1" applyAlignment="1">
      <alignment vertical="center"/>
    </xf>
    <xf numFmtId="165" fontId="23" fillId="0" borderId="0" xfId="0" applyNumberFormat="1" applyFont="1" applyAlignment="1">
      <alignment vertical="center"/>
    </xf>
    <xf numFmtId="165" fontId="23" fillId="0" borderId="20" xfId="0" applyNumberFormat="1" applyFont="1" applyBorder="1" applyAlignment="1">
      <alignment vertical="center"/>
    </xf>
    <xf numFmtId="165" fontId="25" fillId="0" borderId="0" xfId="0" applyNumberFormat="1" applyFont="1" applyAlignment="1">
      <alignment vertical="center"/>
    </xf>
    <xf numFmtId="0" fontId="15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165" fontId="23" fillId="0" borderId="23" xfId="0" applyNumberFormat="1" applyFont="1" applyBorder="1" applyAlignment="1">
      <alignment vertical="center"/>
    </xf>
    <xf numFmtId="165" fontId="23" fillId="0" borderId="24" xfId="0" applyNumberFormat="1" applyFont="1" applyBorder="1" applyAlignment="1">
      <alignment vertical="center"/>
    </xf>
    <xf numFmtId="0" fontId="15" fillId="0" borderId="23" xfId="0" applyFont="1" applyBorder="1" applyAlignment="1">
      <alignment horizontal="center" vertical="center"/>
    </xf>
    <xf numFmtId="165" fontId="20" fillId="0" borderId="23" xfId="0" applyNumberFormat="1" applyFont="1" applyBorder="1" applyAlignment="1">
      <alignment vertical="center"/>
    </xf>
    <xf numFmtId="166" fontId="27" fillId="0" borderId="0" xfId="0" applyNumberFormat="1" applyFont="1" applyAlignment="1">
      <alignment vertical="center"/>
    </xf>
    <xf numFmtId="166" fontId="27" fillId="0" borderId="20" xfId="0" applyNumberFormat="1" applyFont="1" applyBorder="1" applyAlignment="1">
      <alignment vertical="center"/>
    </xf>
    <xf numFmtId="3" fontId="28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165" fontId="20" fillId="0" borderId="0" xfId="0" applyNumberFormat="1" applyFont="1" applyAlignment="1">
      <alignment vertical="center"/>
    </xf>
    <xf numFmtId="166" fontId="23" fillId="0" borderId="0" xfId="0" applyNumberFormat="1" applyFont="1" applyAlignment="1">
      <alignment vertical="center"/>
    </xf>
    <xf numFmtId="166" fontId="23" fillId="0" borderId="20" xfId="0" applyNumberFormat="1" applyFont="1" applyBorder="1" applyAlignment="1">
      <alignment vertical="center"/>
    </xf>
    <xf numFmtId="166" fontId="14" fillId="0" borderId="0" xfId="0" applyNumberFormat="1" applyFont="1" applyAlignment="1">
      <alignment vertical="center"/>
    </xf>
    <xf numFmtId="3" fontId="30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166" fontId="33" fillId="0" borderId="0" xfId="0" applyNumberFormat="1" applyFont="1" applyAlignment="1">
      <alignment vertical="center"/>
    </xf>
    <xf numFmtId="166" fontId="34" fillId="0" borderId="0" xfId="0" applyNumberFormat="1" applyFont="1" applyAlignment="1">
      <alignment vertical="center"/>
    </xf>
    <xf numFmtId="166" fontId="34" fillId="0" borderId="20" xfId="0" applyNumberFormat="1" applyFont="1" applyBorder="1" applyAlignment="1">
      <alignment vertical="center"/>
    </xf>
    <xf numFmtId="3" fontId="35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vertical="center"/>
    </xf>
    <xf numFmtId="165" fontId="25" fillId="0" borderId="21" xfId="0" applyNumberFormat="1" applyFont="1" applyBorder="1" applyAlignment="1">
      <alignment vertical="center"/>
    </xf>
    <xf numFmtId="165" fontId="25" fillId="0" borderId="22" xfId="0" applyNumberFormat="1" applyFont="1" applyBorder="1" applyAlignment="1">
      <alignment vertical="center"/>
    </xf>
    <xf numFmtId="0" fontId="26" fillId="0" borderId="21" xfId="0" applyFont="1" applyBorder="1" applyAlignment="1">
      <alignment horizontal="center" vertical="center"/>
    </xf>
    <xf numFmtId="165" fontId="34" fillId="0" borderId="0" xfId="0" applyNumberFormat="1" applyFont="1" applyAlignment="1">
      <alignment vertical="center"/>
    </xf>
    <xf numFmtId="165" fontId="34" fillId="0" borderId="20" xfId="0" applyNumberFormat="1" applyFont="1" applyBorder="1" applyAlignment="1">
      <alignment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30" fillId="3" borderId="3" xfId="0" applyFont="1" applyFill="1" applyBorder="1" applyAlignment="1">
      <alignment horizontal="center" vertical="center"/>
    </xf>
    <xf numFmtId="0" fontId="30" fillId="3" borderId="27" xfId="0" applyFont="1" applyFill="1" applyBorder="1" applyAlignment="1">
      <alignment horizontal="center" vertical="center"/>
    </xf>
    <xf numFmtId="0" fontId="39" fillId="3" borderId="3" xfId="0" applyFont="1" applyFill="1" applyBorder="1" applyAlignment="1">
      <alignment horizontal="center" vertical="center"/>
    </xf>
    <xf numFmtId="0" fontId="40" fillId="0" borderId="28" xfId="0" applyFont="1" applyBorder="1" applyAlignment="1">
      <alignment horizontal="center" vertical="center"/>
    </xf>
    <xf numFmtId="167" fontId="40" fillId="0" borderId="28" xfId="0" applyNumberFormat="1" applyFont="1" applyBorder="1" applyAlignment="1">
      <alignment horizontal="center" vertical="center"/>
    </xf>
    <xf numFmtId="167" fontId="40" fillId="0" borderId="29" xfId="0" applyNumberFormat="1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40" fillId="0" borderId="0" xfId="0" applyFont="1" applyAlignment="1">
      <alignment vertical="center"/>
    </xf>
    <xf numFmtId="0" fontId="40" fillId="0" borderId="20" xfId="0" applyFont="1" applyBorder="1" applyAlignment="1">
      <alignment vertical="center"/>
    </xf>
    <xf numFmtId="0" fontId="40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164" fontId="44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64" fontId="45" fillId="0" borderId="0" xfId="0" applyNumberFormat="1" applyFont="1" applyAlignment="1">
      <alignment horizontal="center" vertical="center"/>
    </xf>
    <xf numFmtId="0" fontId="46" fillId="0" borderId="0" xfId="0" applyFont="1" applyAlignment="1">
      <alignment vertical="center"/>
    </xf>
    <xf numFmtId="164" fontId="48" fillId="0" borderId="2" xfId="0" applyNumberFormat="1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164" fontId="49" fillId="0" borderId="2" xfId="0" applyNumberFormat="1" applyFont="1" applyBorder="1" applyAlignment="1">
      <alignment horizontal="center" vertical="center"/>
    </xf>
    <xf numFmtId="164" fontId="44" fillId="0" borderId="28" xfId="0" applyNumberFormat="1" applyFont="1" applyBorder="1" applyAlignment="1">
      <alignment horizontal="center" vertical="center"/>
    </xf>
    <xf numFmtId="0" fontId="45" fillId="0" borderId="28" xfId="0" applyFont="1" applyBorder="1" applyAlignment="1">
      <alignment horizontal="center" vertical="center"/>
    </xf>
    <xf numFmtId="164" fontId="45" fillId="0" borderId="28" xfId="0" applyNumberFormat="1" applyFont="1" applyBorder="1" applyAlignment="1">
      <alignment horizontal="center" vertical="center"/>
    </xf>
    <xf numFmtId="0" fontId="46" fillId="0" borderId="28" xfId="0" applyFont="1" applyBorder="1" applyAlignment="1">
      <alignment horizontal="center" vertical="center"/>
    </xf>
    <xf numFmtId="167" fontId="46" fillId="0" borderId="28" xfId="0" applyNumberFormat="1" applyFont="1" applyBorder="1" applyAlignment="1">
      <alignment horizontal="center" vertical="center"/>
    </xf>
    <xf numFmtId="164" fontId="48" fillId="3" borderId="3" xfId="0" applyNumberFormat="1" applyFont="1" applyFill="1" applyBorder="1" applyAlignment="1">
      <alignment horizontal="center" vertical="center"/>
    </xf>
    <xf numFmtId="164" fontId="48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164" fontId="49" fillId="0" borderId="0" xfId="0" applyNumberFormat="1" applyFont="1" applyAlignment="1">
      <alignment horizontal="center" vertical="center"/>
    </xf>
    <xf numFmtId="165" fontId="48" fillId="0" borderId="0" xfId="0" applyNumberFormat="1" applyFont="1" applyAlignment="1">
      <alignment horizontal="center" vertical="center"/>
    </xf>
    <xf numFmtId="165" fontId="20" fillId="0" borderId="0" xfId="0" applyNumberFormat="1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165" fontId="48" fillId="0" borderId="23" xfId="0" applyNumberFormat="1" applyFont="1" applyBorder="1" applyAlignment="1">
      <alignment horizontal="center" vertical="center"/>
    </xf>
    <xf numFmtId="165" fontId="50" fillId="0" borderId="23" xfId="0" applyNumberFormat="1" applyFont="1" applyBorder="1" applyAlignment="1">
      <alignment horizontal="center" vertical="center"/>
    </xf>
    <xf numFmtId="165" fontId="51" fillId="0" borderId="23" xfId="0" applyNumberFormat="1" applyFont="1" applyBorder="1" applyAlignment="1">
      <alignment vertical="center"/>
    </xf>
    <xf numFmtId="0" fontId="52" fillId="0" borderId="23" xfId="0" applyFont="1" applyBorder="1" applyAlignment="1">
      <alignment horizontal="center" vertical="center"/>
    </xf>
    <xf numFmtId="165" fontId="15" fillId="0" borderId="0" xfId="0" applyNumberFormat="1" applyFont="1" applyAlignment="1">
      <alignment horizontal="center" vertical="center"/>
    </xf>
    <xf numFmtId="165" fontId="25" fillId="0" borderId="0" xfId="0" applyNumberFormat="1" applyFont="1" applyAlignment="1">
      <alignment horizontal="center" vertical="center"/>
    </xf>
    <xf numFmtId="164" fontId="53" fillId="0" borderId="0" xfId="0" applyNumberFormat="1" applyFont="1" applyAlignment="1">
      <alignment horizontal="center" vertical="center"/>
    </xf>
    <xf numFmtId="165" fontId="32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165" fontId="56" fillId="3" borderId="23" xfId="0" applyNumberFormat="1" applyFont="1" applyFill="1" applyBorder="1" applyAlignment="1">
      <alignment horizontal="center" vertical="center"/>
    </xf>
    <xf numFmtId="165" fontId="57" fillId="3" borderId="23" xfId="0" applyNumberFormat="1" applyFont="1" applyFill="1" applyBorder="1" applyAlignment="1">
      <alignment horizontal="center" vertical="center"/>
    </xf>
    <xf numFmtId="0" fontId="56" fillId="3" borderId="23" xfId="0" applyFont="1" applyFill="1" applyBorder="1" applyAlignment="1">
      <alignment vertical="center"/>
    </xf>
    <xf numFmtId="165" fontId="56" fillId="3" borderId="23" xfId="0" applyNumberFormat="1" applyFont="1" applyFill="1" applyBorder="1" applyAlignment="1">
      <alignment vertical="center"/>
    </xf>
    <xf numFmtId="0" fontId="56" fillId="3" borderId="23" xfId="0" applyFont="1" applyFill="1" applyBorder="1" applyAlignment="1">
      <alignment horizontal="center" vertical="center"/>
    </xf>
    <xf numFmtId="164" fontId="24" fillId="0" borderId="0" xfId="0" applyNumberFormat="1" applyFont="1" applyAlignment="1">
      <alignment horizontal="center" vertical="center"/>
    </xf>
    <xf numFmtId="164" fontId="24" fillId="0" borderId="2" xfId="0" applyNumberFormat="1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165" fontId="61" fillId="0" borderId="0" xfId="0" applyNumberFormat="1" applyFont="1" applyAlignment="1">
      <alignment vertical="center"/>
    </xf>
    <xf numFmtId="0" fontId="24" fillId="10" borderId="3" xfId="0" applyFont="1" applyFill="1" applyBorder="1" applyAlignment="1">
      <alignment vertical="center"/>
    </xf>
    <xf numFmtId="0" fontId="65" fillId="10" borderId="3" xfId="0" applyFont="1" applyFill="1" applyBorder="1" applyAlignment="1">
      <alignment vertical="center"/>
    </xf>
    <xf numFmtId="0" fontId="14" fillId="10" borderId="3" xfId="0" applyFont="1" applyFill="1" applyBorder="1" applyAlignment="1">
      <alignment vertical="center"/>
    </xf>
    <xf numFmtId="0" fontId="65" fillId="10" borderId="3" xfId="0" applyFont="1" applyFill="1" applyBorder="1" applyAlignment="1">
      <alignment horizontal="center" vertical="center"/>
    </xf>
    <xf numFmtId="164" fontId="31" fillId="0" borderId="2" xfId="0" applyNumberFormat="1" applyFont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58" fillId="5" borderId="6" xfId="0" applyFont="1" applyFill="1" applyBorder="1" applyAlignment="1">
      <alignment horizontal="center" vertical="center"/>
    </xf>
    <xf numFmtId="164" fontId="54" fillId="0" borderId="0" xfId="0" applyNumberFormat="1" applyFont="1" applyAlignment="1">
      <alignment horizontal="center" vertical="center"/>
    </xf>
    <xf numFmtId="0" fontId="16" fillId="0" borderId="0" xfId="0" applyFont="1" applyAlignment="1">
      <alignment vertical="center"/>
    </xf>
    <xf numFmtId="165" fontId="68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54" fillId="0" borderId="0" xfId="0" applyFont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9" fontId="16" fillId="0" borderId="0" xfId="0" applyNumberFormat="1" applyFont="1" applyAlignment="1">
      <alignment horizontal="center" vertical="center"/>
    </xf>
    <xf numFmtId="164" fontId="54" fillId="0" borderId="23" xfId="0" applyNumberFormat="1" applyFont="1" applyBorder="1" applyAlignment="1">
      <alignment horizontal="center" vertical="center"/>
    </xf>
    <xf numFmtId="165" fontId="68" fillId="0" borderId="23" xfId="0" applyNumberFormat="1" applyFont="1" applyBorder="1" applyAlignment="1">
      <alignment horizontal="center" vertical="center"/>
    </xf>
    <xf numFmtId="165" fontId="16" fillId="0" borderId="23" xfId="0" applyNumberFormat="1" applyFont="1" applyBorder="1" applyAlignment="1">
      <alignment vertical="center"/>
    </xf>
    <xf numFmtId="0" fontId="54" fillId="0" borderId="23" xfId="0" applyFont="1" applyBorder="1" applyAlignment="1">
      <alignment horizontal="center" vertical="center"/>
    </xf>
    <xf numFmtId="165" fontId="50" fillId="0" borderId="0" xfId="0" applyNumberFormat="1" applyFont="1" applyAlignment="1">
      <alignment horizontal="center" vertical="center"/>
    </xf>
    <xf numFmtId="165" fontId="51" fillId="0" borderId="0" xfId="0" applyNumberFormat="1" applyFont="1" applyAlignment="1">
      <alignment vertical="center"/>
    </xf>
    <xf numFmtId="0" fontId="52" fillId="0" borderId="0" xfId="0" applyFont="1" applyAlignment="1">
      <alignment horizontal="center" vertical="center"/>
    </xf>
    <xf numFmtId="0" fontId="16" fillId="0" borderId="23" xfId="0" applyFont="1" applyBorder="1" applyAlignment="1">
      <alignment vertical="center"/>
    </xf>
    <xf numFmtId="165" fontId="16" fillId="0" borderId="23" xfId="0" applyNumberFormat="1" applyFont="1" applyBorder="1" applyAlignment="1">
      <alignment horizontal="center" vertical="center"/>
    </xf>
    <xf numFmtId="165" fontId="51" fillId="0" borderId="23" xfId="0" applyNumberFormat="1" applyFont="1" applyBorder="1" applyAlignment="1">
      <alignment horizontal="center" vertical="center"/>
    </xf>
    <xf numFmtId="165" fontId="25" fillId="0" borderId="48" xfId="0" applyNumberFormat="1" applyFont="1" applyBorder="1" applyAlignment="1">
      <alignment vertical="center"/>
    </xf>
    <xf numFmtId="0" fontId="69" fillId="10" borderId="3" xfId="0" applyFont="1" applyFill="1" applyBorder="1" applyAlignment="1">
      <alignment horizontal="center" vertical="center"/>
    </xf>
    <xf numFmtId="165" fontId="25" fillId="0" borderId="23" xfId="0" applyNumberFormat="1" applyFont="1" applyBorder="1" applyAlignment="1">
      <alignment horizontal="left" vertical="center"/>
    </xf>
    <xf numFmtId="165" fontId="25" fillId="0" borderId="2" xfId="0" applyNumberFormat="1" applyFont="1" applyBorder="1" applyAlignment="1">
      <alignment horizontal="left" vertical="center"/>
    </xf>
    <xf numFmtId="0" fontId="30" fillId="0" borderId="0" xfId="0" applyFont="1" applyAlignment="1">
      <alignment horizontal="center" vertical="center"/>
    </xf>
    <xf numFmtId="3" fontId="23" fillId="0" borderId="0" xfId="0" applyNumberFormat="1" applyFont="1" applyAlignment="1">
      <alignment vertical="center"/>
    </xf>
    <xf numFmtId="170" fontId="23" fillId="0" borderId="0" xfId="0" applyNumberFormat="1" applyFont="1" applyAlignment="1">
      <alignment vertical="center"/>
    </xf>
    <xf numFmtId="3" fontId="51" fillId="0" borderId="0" xfId="0" applyNumberFormat="1" applyFont="1" applyAlignment="1">
      <alignment vertical="center"/>
    </xf>
    <xf numFmtId="173" fontId="14" fillId="0" borderId="0" xfId="0" applyNumberFormat="1" applyFont="1" applyAlignment="1">
      <alignment horizontal="center" vertical="center"/>
    </xf>
    <xf numFmtId="0" fontId="70" fillId="0" borderId="0" xfId="0" applyFont="1"/>
    <xf numFmtId="164" fontId="15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horizontal="center" vertical="center"/>
    </xf>
    <xf numFmtId="164" fontId="52" fillId="0" borderId="23" xfId="0" applyNumberFormat="1" applyFont="1" applyBorder="1" applyAlignment="1">
      <alignment horizontal="center" vertical="center"/>
    </xf>
    <xf numFmtId="165" fontId="52" fillId="0" borderId="0" xfId="0" applyNumberFormat="1" applyFont="1" applyAlignment="1">
      <alignment horizontal="center" vertical="center"/>
    </xf>
    <xf numFmtId="165" fontId="52" fillId="0" borderId="23" xfId="0" applyNumberFormat="1" applyFont="1" applyBorder="1" applyAlignment="1">
      <alignment horizontal="center" vertical="center"/>
    </xf>
    <xf numFmtId="9" fontId="23" fillId="2" borderId="1" xfId="0" applyNumberFormat="1" applyFont="1" applyFill="1" applyBorder="1" applyAlignment="1" applyProtection="1">
      <alignment horizontal="center" vertical="center"/>
      <protection locked="0"/>
    </xf>
    <xf numFmtId="165" fontId="23" fillId="2" borderId="1" xfId="0" applyNumberFormat="1" applyFont="1" applyFill="1" applyBorder="1" applyAlignment="1" applyProtection="1">
      <alignment horizontal="center" vertical="center"/>
      <protection locked="0"/>
    </xf>
    <xf numFmtId="10" fontId="23" fillId="2" borderId="1" xfId="0" applyNumberFormat="1" applyFont="1" applyFill="1" applyBorder="1" applyAlignment="1" applyProtection="1">
      <alignment horizontal="center" vertical="center"/>
      <protection locked="0"/>
    </xf>
    <xf numFmtId="165" fontId="25" fillId="0" borderId="23" xfId="0" applyNumberFormat="1" applyFont="1" applyBorder="1" applyAlignment="1">
      <alignment vertical="center"/>
    </xf>
    <xf numFmtId="0" fontId="71" fillId="3" borderId="3" xfId="0" applyFont="1" applyFill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73" xfId="0" applyFont="1" applyBorder="1" applyAlignment="1">
      <alignment horizontal="center" vertical="center"/>
    </xf>
    <xf numFmtId="0" fontId="15" fillId="0" borderId="75" xfId="0" applyFont="1" applyBorder="1" applyAlignment="1">
      <alignment horizontal="center" vertical="center"/>
    </xf>
    <xf numFmtId="9" fontId="23" fillId="0" borderId="0" xfId="0" applyNumberFormat="1" applyFont="1" applyAlignment="1">
      <alignment horizontal="center" vertical="center"/>
    </xf>
    <xf numFmtId="0" fontId="15" fillId="0" borderId="74" xfId="0" applyFont="1" applyBorder="1" applyAlignment="1">
      <alignment horizontal="center" vertical="center"/>
    </xf>
    <xf numFmtId="10" fontId="23" fillId="0" borderId="0" xfId="0" applyNumberFormat="1" applyFont="1" applyAlignment="1">
      <alignment horizontal="center" vertical="center"/>
    </xf>
    <xf numFmtId="0" fontId="48" fillId="0" borderId="0" xfId="0" applyFont="1" applyAlignment="1">
      <alignment vertical="center"/>
    </xf>
    <xf numFmtId="165" fontId="16" fillId="0" borderId="1" xfId="0" applyNumberFormat="1" applyFont="1" applyBorder="1" applyAlignment="1">
      <alignment horizontal="center" vertical="center"/>
    </xf>
    <xf numFmtId="9" fontId="16" fillId="0" borderId="1" xfId="0" applyNumberFormat="1" applyFont="1" applyBorder="1" applyAlignment="1">
      <alignment horizontal="center" vertical="center"/>
    </xf>
    <xf numFmtId="10" fontId="16" fillId="0" borderId="1" xfId="0" applyNumberFormat="1" applyFont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164" fontId="52" fillId="0" borderId="0" xfId="0" applyNumberFormat="1" applyFont="1" applyAlignment="1">
      <alignment horizontal="center" vertical="center"/>
    </xf>
    <xf numFmtId="165" fontId="51" fillId="0" borderId="0" xfId="0" applyNumberFormat="1" applyFont="1" applyAlignment="1">
      <alignment horizontal="center" vertical="center"/>
    </xf>
    <xf numFmtId="9" fontId="16" fillId="0" borderId="23" xfId="0" applyNumberFormat="1" applyFont="1" applyBorder="1" applyAlignment="1">
      <alignment horizontal="center" vertical="center"/>
    </xf>
    <xf numFmtId="169" fontId="16" fillId="0" borderId="23" xfId="0" applyNumberFormat="1" applyFont="1" applyBorder="1" applyAlignment="1">
      <alignment vertical="center"/>
    </xf>
    <xf numFmtId="165" fontId="75" fillId="0" borderId="23" xfId="0" applyNumberFormat="1" applyFont="1" applyBorder="1" applyAlignment="1">
      <alignment horizontal="center" vertical="center"/>
    </xf>
    <xf numFmtId="0" fontId="51" fillId="0" borderId="0" xfId="0" applyFont="1" applyAlignment="1">
      <alignment vertical="center"/>
    </xf>
    <xf numFmtId="165" fontId="51" fillId="4" borderId="23" xfId="0" applyNumberFormat="1" applyFont="1" applyFill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23" fillId="0" borderId="23" xfId="0" applyFont="1" applyBorder="1" applyAlignment="1">
      <alignment vertical="center"/>
    </xf>
    <xf numFmtId="0" fontId="76" fillId="0" borderId="0" xfId="0" applyFont="1" applyAlignment="1">
      <alignment horizontal="center" vertical="center"/>
    </xf>
    <xf numFmtId="165" fontId="77" fillId="0" borderId="20" xfId="0" applyNumberFormat="1" applyFont="1" applyBorder="1" applyAlignment="1">
      <alignment vertical="center"/>
    </xf>
    <xf numFmtId="165" fontId="77" fillId="0" borderId="0" xfId="0" applyNumberFormat="1" applyFont="1" applyAlignment="1">
      <alignment vertical="center"/>
    </xf>
    <xf numFmtId="0" fontId="77" fillId="0" borderId="0" xfId="0" applyFont="1" applyAlignment="1">
      <alignment vertical="center"/>
    </xf>
    <xf numFmtId="0" fontId="20" fillId="0" borderId="14" xfId="0" applyFont="1" applyBorder="1" applyAlignment="1">
      <alignment horizontal="left" vertical="center"/>
    </xf>
    <xf numFmtId="165" fontId="32" fillId="0" borderId="21" xfId="0" applyNumberFormat="1" applyFont="1" applyBorder="1" applyAlignment="1">
      <alignment horizontal="left" vertical="center"/>
    </xf>
    <xf numFmtId="165" fontId="20" fillId="0" borderId="0" xfId="0" applyNumberFormat="1" applyFont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0" fontId="21" fillId="0" borderId="25" xfId="0" applyFont="1" applyBorder="1" applyAlignment="1">
      <alignment horizontal="left" vertical="center"/>
    </xf>
    <xf numFmtId="0" fontId="23" fillId="0" borderId="21" xfId="0" applyFont="1" applyBorder="1" applyAlignment="1">
      <alignment vertical="center"/>
    </xf>
    <xf numFmtId="0" fontId="38" fillId="0" borderId="21" xfId="0" applyFont="1" applyBorder="1" applyAlignment="1">
      <alignment horizontal="left" vertical="center"/>
    </xf>
    <xf numFmtId="0" fontId="79" fillId="0" borderId="14" xfId="0" applyFont="1" applyBorder="1" applyAlignment="1">
      <alignment horizontal="left" vertical="center"/>
    </xf>
    <xf numFmtId="165" fontId="25" fillId="0" borderId="21" xfId="0" quotePrefix="1" applyNumberFormat="1" applyFont="1" applyBorder="1" applyAlignment="1">
      <alignment vertical="center"/>
    </xf>
    <xf numFmtId="0" fontId="23" fillId="0" borderId="21" xfId="0" applyFont="1" applyBorder="1" applyAlignment="1">
      <alignment horizontal="left" vertical="center"/>
    </xf>
    <xf numFmtId="165" fontId="23" fillId="0" borderId="21" xfId="0" applyNumberFormat="1" applyFont="1" applyBorder="1" applyAlignment="1">
      <alignment horizontal="left" vertical="center"/>
    </xf>
    <xf numFmtId="165" fontId="23" fillId="0" borderId="21" xfId="0" quotePrefix="1" applyNumberFormat="1" applyFont="1" applyBorder="1" applyAlignment="1">
      <alignment horizontal="left" vertical="center" indent="1"/>
    </xf>
    <xf numFmtId="165" fontId="23" fillId="0" borderId="21" xfId="0" applyNumberFormat="1" applyFont="1" applyBorder="1" applyAlignment="1">
      <alignment vertical="center"/>
    </xf>
    <xf numFmtId="0" fontId="15" fillId="0" borderId="21" xfId="0" applyFont="1" applyBorder="1" applyAlignment="1">
      <alignment horizontal="center" vertical="center"/>
    </xf>
    <xf numFmtId="165" fontId="23" fillId="0" borderId="22" xfId="0" applyNumberFormat="1" applyFont="1" applyBorder="1" applyAlignment="1">
      <alignment vertical="center"/>
    </xf>
    <xf numFmtId="0" fontId="49" fillId="0" borderId="0" xfId="0" applyFont="1" applyAlignment="1">
      <alignment horizontal="left" vertical="center"/>
    </xf>
    <xf numFmtId="0" fontId="76" fillId="0" borderId="0" xfId="0" applyFont="1" applyAlignment="1">
      <alignment horizontal="left" vertical="center" indent="2"/>
    </xf>
    <xf numFmtId="3" fontId="78" fillId="0" borderId="0" xfId="0" applyNumberFormat="1" applyFont="1" applyAlignment="1">
      <alignment horizontal="center" vertical="center"/>
    </xf>
    <xf numFmtId="166" fontId="76" fillId="0" borderId="0" xfId="0" applyNumberFormat="1" applyFont="1" applyAlignment="1">
      <alignment vertical="center"/>
    </xf>
    <xf numFmtId="0" fontId="25" fillId="0" borderId="48" xfId="0" applyFont="1" applyBorder="1" applyAlignment="1">
      <alignment vertical="center"/>
    </xf>
    <xf numFmtId="0" fontId="25" fillId="0" borderId="48" xfId="0" applyFont="1" applyBorder="1" applyAlignment="1">
      <alignment horizontal="center" vertical="center"/>
    </xf>
    <xf numFmtId="0" fontId="26" fillId="0" borderId="48" xfId="0" applyFont="1" applyBorder="1" applyAlignment="1">
      <alignment horizontal="center" vertical="center"/>
    </xf>
    <xf numFmtId="165" fontId="25" fillId="0" borderId="76" xfId="0" applyNumberFormat="1" applyFont="1" applyBorder="1" applyAlignment="1">
      <alignment vertical="center"/>
    </xf>
    <xf numFmtId="0" fontId="41" fillId="3" borderId="3" xfId="0" applyFont="1" applyFill="1" applyBorder="1" applyAlignment="1">
      <alignment horizontal="center" vertical="center"/>
    </xf>
    <xf numFmtId="0" fontId="20" fillId="12" borderId="16" xfId="0" applyFont="1" applyFill="1" applyBorder="1" applyAlignment="1">
      <alignment horizontal="left" vertical="center"/>
    </xf>
    <xf numFmtId="0" fontId="20" fillId="11" borderId="16" xfId="0" applyFont="1" applyFill="1" applyBorder="1" applyAlignment="1">
      <alignment horizontal="left" vertical="center"/>
    </xf>
    <xf numFmtId="0" fontId="21" fillId="12" borderId="9" xfId="0" applyFont="1" applyFill="1" applyBorder="1" applyAlignment="1">
      <alignment horizontal="left" vertical="center"/>
    </xf>
    <xf numFmtId="170" fontId="14" fillId="0" borderId="0" xfId="0" applyNumberFormat="1" applyFont="1" applyAlignment="1">
      <alignment vertical="center"/>
    </xf>
    <xf numFmtId="0" fontId="65" fillId="5" borderId="6" xfId="0" applyFont="1" applyFill="1" applyBorder="1" applyAlignment="1">
      <alignment horizontal="center" vertical="center"/>
    </xf>
    <xf numFmtId="0" fontId="25" fillId="0" borderId="78" xfId="0" applyFont="1" applyBorder="1" applyAlignment="1">
      <alignment vertical="center"/>
    </xf>
    <xf numFmtId="170" fontId="23" fillId="0" borderId="11" xfId="0" applyNumberFormat="1" applyFont="1" applyBorder="1" applyAlignment="1">
      <alignment vertical="center"/>
    </xf>
    <xf numFmtId="170" fontId="23" fillId="0" borderId="19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70" fontId="23" fillId="0" borderId="17" xfId="0" applyNumberFormat="1" applyFont="1" applyBorder="1" applyAlignment="1">
      <alignment vertical="center"/>
    </xf>
    <xf numFmtId="170" fontId="23" fillId="0" borderId="10" xfId="0" applyNumberFormat="1" applyFont="1" applyBorder="1" applyAlignment="1">
      <alignment vertical="center"/>
    </xf>
    <xf numFmtId="165" fontId="25" fillId="0" borderId="37" xfId="0" applyNumberFormat="1" applyFont="1" applyBorder="1" applyAlignment="1">
      <alignment vertical="center"/>
    </xf>
    <xf numFmtId="165" fontId="23" fillId="2" borderId="46" xfId="0" applyNumberFormat="1" applyFont="1" applyFill="1" applyBorder="1" applyAlignment="1" applyProtection="1">
      <alignment horizontal="center" vertical="center"/>
      <protection locked="0"/>
    </xf>
    <xf numFmtId="0" fontId="15" fillId="0" borderId="92" xfId="0" applyFont="1" applyBorder="1" applyAlignment="1">
      <alignment horizontal="center" vertical="center"/>
    </xf>
    <xf numFmtId="10" fontId="23" fillId="2" borderId="44" xfId="0" applyNumberFormat="1" applyFont="1" applyFill="1" applyBorder="1" applyAlignment="1" applyProtection="1">
      <alignment horizontal="center" vertical="center"/>
      <protection locked="0"/>
    </xf>
    <xf numFmtId="0" fontId="15" fillId="0" borderId="28" xfId="0" applyFont="1" applyBorder="1" applyAlignment="1">
      <alignment horizontal="center" vertical="center"/>
    </xf>
    <xf numFmtId="10" fontId="23" fillId="2" borderId="93" xfId="0" applyNumberFormat="1" applyFont="1" applyFill="1" applyBorder="1" applyAlignment="1" applyProtection="1">
      <alignment horizontal="center" vertical="center"/>
      <protection locked="0"/>
    </xf>
    <xf numFmtId="0" fontId="15" fillId="0" borderId="48" xfId="0" applyFont="1" applyBorder="1" applyAlignment="1">
      <alignment horizontal="center" vertical="center"/>
    </xf>
    <xf numFmtId="165" fontId="25" fillId="0" borderId="3" xfId="0" applyNumberFormat="1" applyFont="1" applyBorder="1" applyAlignment="1">
      <alignment vertical="center"/>
    </xf>
    <xf numFmtId="9" fontId="23" fillId="2" borderId="5" xfId="0" applyNumberFormat="1" applyFont="1" applyFill="1" applyBorder="1" applyAlignment="1" applyProtection="1">
      <alignment horizontal="center" vertical="center"/>
      <protection locked="0"/>
    </xf>
    <xf numFmtId="0" fontId="15" fillId="0" borderId="3" xfId="0" applyFont="1" applyBorder="1" applyAlignment="1">
      <alignment horizontal="center" vertical="center"/>
    </xf>
    <xf numFmtId="0" fontId="25" fillId="0" borderId="95" xfId="0" applyFont="1" applyBorder="1" applyAlignment="1">
      <alignment vertical="center"/>
    </xf>
    <xf numFmtId="10" fontId="23" fillId="2" borderId="46" xfId="0" applyNumberFormat="1" applyFont="1" applyFill="1" applyBorder="1" applyAlignment="1" applyProtection="1">
      <alignment horizontal="center" vertical="center"/>
      <protection locked="0"/>
    </xf>
    <xf numFmtId="0" fontId="25" fillId="0" borderId="96" xfId="0" applyFont="1" applyBorder="1" applyAlignment="1">
      <alignment vertical="center"/>
    </xf>
    <xf numFmtId="0" fontId="31" fillId="8" borderId="43" xfId="0" applyFont="1" applyFill="1" applyBorder="1" applyAlignment="1">
      <alignment horizontal="center" vertical="center"/>
    </xf>
    <xf numFmtId="0" fontId="31" fillId="9" borderId="44" xfId="0" applyFont="1" applyFill="1" applyBorder="1" applyAlignment="1">
      <alignment horizontal="center" vertical="center"/>
    </xf>
    <xf numFmtId="0" fontId="31" fillId="8" borderId="44" xfId="0" applyFont="1" applyFill="1" applyBorder="1" applyAlignment="1">
      <alignment horizontal="center" vertical="center"/>
    </xf>
    <xf numFmtId="0" fontId="31" fillId="8" borderId="38" xfId="0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1" fillId="0" borderId="23" xfId="0" applyFont="1" applyBorder="1" applyAlignment="1">
      <alignment horizontal="left" vertical="center"/>
    </xf>
    <xf numFmtId="0" fontId="79" fillId="0" borderId="21" xfId="0" applyFont="1" applyBorder="1" applyAlignment="1">
      <alignment horizontal="left" vertical="center"/>
    </xf>
    <xf numFmtId="0" fontId="20" fillId="0" borderId="98" xfId="0" applyFont="1" applyBorder="1" applyAlignment="1">
      <alignment horizontal="left" vertical="center"/>
    </xf>
    <xf numFmtId="0" fontId="50" fillId="0" borderId="14" xfId="0" applyFont="1" applyBorder="1" applyAlignment="1">
      <alignment horizontal="left" vertical="center"/>
    </xf>
    <xf numFmtId="0" fontId="86" fillId="0" borderId="14" xfId="0" applyFont="1" applyBorder="1" applyAlignment="1">
      <alignment horizontal="left" vertical="center"/>
    </xf>
    <xf numFmtId="0" fontId="87" fillId="0" borderId="14" xfId="0" applyFont="1" applyBorder="1" applyAlignment="1">
      <alignment horizontal="left" vertical="center"/>
    </xf>
    <xf numFmtId="0" fontId="88" fillId="0" borderId="14" xfId="0" applyFont="1" applyBorder="1" applyAlignment="1">
      <alignment horizontal="left" vertical="center"/>
    </xf>
    <xf numFmtId="0" fontId="88" fillId="0" borderId="25" xfId="0" applyFont="1" applyBorder="1" applyAlignment="1">
      <alignment horizontal="left" vertical="center"/>
    </xf>
    <xf numFmtId="165" fontId="23" fillId="0" borderId="0" xfId="0" applyNumberFormat="1" applyFont="1" applyAlignment="1">
      <alignment vertical="center" wrapText="1"/>
    </xf>
    <xf numFmtId="165" fontId="23" fillId="0" borderId="23" xfId="0" applyNumberFormat="1" applyFont="1" applyBorder="1" applyAlignment="1">
      <alignment vertical="center" wrapText="1"/>
    </xf>
    <xf numFmtId="0" fontId="26" fillId="0" borderId="48" xfId="0" applyFont="1" applyBorder="1" applyAlignment="1">
      <alignment horizontal="left" vertical="center"/>
    </xf>
    <xf numFmtId="165" fontId="21" fillId="0" borderId="0" xfId="0" applyNumberFormat="1" applyFont="1" applyAlignment="1">
      <alignment horizontal="left" vertical="center"/>
    </xf>
    <xf numFmtId="0" fontId="30" fillId="3" borderId="3" xfId="0" applyFont="1" applyFill="1" applyBorder="1" applyAlignment="1">
      <alignment horizontal="left" vertical="center"/>
    </xf>
    <xf numFmtId="0" fontId="92" fillId="0" borderId="14" xfId="0" applyFont="1" applyBorder="1" applyAlignment="1">
      <alignment horizontal="left" vertical="center"/>
    </xf>
    <xf numFmtId="0" fontId="92" fillId="0" borderId="0" xfId="0" applyFont="1" applyAlignment="1">
      <alignment horizontal="left" vertical="center"/>
    </xf>
    <xf numFmtId="165" fontId="52" fillId="0" borderId="0" xfId="0" applyNumberFormat="1" applyFont="1" applyAlignment="1">
      <alignment vertical="center"/>
    </xf>
    <xf numFmtId="3" fontId="96" fillId="0" borderId="0" xfId="0" applyNumberFormat="1" applyFont="1" applyAlignment="1">
      <alignment horizontal="center" vertical="center"/>
    </xf>
    <xf numFmtId="165" fontId="52" fillId="0" borderId="20" xfId="0" applyNumberFormat="1" applyFont="1" applyBorder="1" applyAlignment="1">
      <alignment vertical="center"/>
    </xf>
    <xf numFmtId="166" fontId="52" fillId="0" borderId="0" xfId="0" applyNumberFormat="1" applyFont="1" applyAlignment="1">
      <alignment vertical="center"/>
    </xf>
    <xf numFmtId="164" fontId="97" fillId="0" borderId="0" xfId="0" applyNumberFormat="1" applyFont="1" applyAlignment="1">
      <alignment horizontal="center" vertical="center"/>
    </xf>
    <xf numFmtId="164" fontId="98" fillId="0" borderId="0" xfId="0" applyNumberFormat="1" applyFont="1" applyAlignment="1">
      <alignment horizontal="center" vertical="center"/>
    </xf>
    <xf numFmtId="0" fontId="98" fillId="0" borderId="0" xfId="0" applyFont="1" applyAlignment="1">
      <alignment horizontal="center" vertical="center"/>
    </xf>
    <xf numFmtId="165" fontId="97" fillId="0" borderId="0" xfId="0" applyNumberFormat="1" applyFont="1" applyAlignment="1">
      <alignment horizontal="center" vertical="center"/>
    </xf>
    <xf numFmtId="165" fontId="99" fillId="0" borderId="0" xfId="0" applyNumberFormat="1" applyFont="1" applyAlignment="1">
      <alignment vertical="center"/>
    </xf>
    <xf numFmtId="164" fontId="97" fillId="0" borderId="28" xfId="0" applyNumberFormat="1" applyFont="1" applyBorder="1" applyAlignment="1">
      <alignment horizontal="center" vertical="center"/>
    </xf>
    <xf numFmtId="164" fontId="98" fillId="0" borderId="28" xfId="0" applyNumberFormat="1" applyFont="1" applyBorder="1" applyAlignment="1">
      <alignment horizontal="center" vertical="center"/>
    </xf>
    <xf numFmtId="0" fontId="98" fillId="0" borderId="28" xfId="0" applyFont="1" applyBorder="1" applyAlignment="1">
      <alignment horizontal="center" vertical="center"/>
    </xf>
    <xf numFmtId="0" fontId="33" fillId="0" borderId="28" xfId="0" applyFont="1" applyBorder="1" applyAlignment="1">
      <alignment horizontal="center" vertical="center"/>
    </xf>
    <xf numFmtId="167" fontId="33" fillId="0" borderId="28" xfId="0" applyNumberFormat="1" applyFont="1" applyBorder="1" applyAlignment="1">
      <alignment horizontal="center" vertical="center"/>
    </xf>
    <xf numFmtId="0" fontId="21" fillId="11" borderId="8" xfId="0" applyFont="1" applyFill="1" applyBorder="1" applyAlignment="1">
      <alignment horizontal="left" vertical="center"/>
    </xf>
    <xf numFmtId="0" fontId="20" fillId="11" borderId="15" xfId="0" applyFont="1" applyFill="1" applyBorder="1" applyAlignment="1">
      <alignment horizontal="left" vertical="center"/>
    </xf>
    <xf numFmtId="0" fontId="20" fillId="11" borderId="8" xfId="0" applyFont="1" applyFill="1" applyBorder="1" applyAlignment="1">
      <alignment vertical="center"/>
    </xf>
    <xf numFmtId="0" fontId="20" fillId="12" borderId="9" xfId="0" applyFont="1" applyFill="1" applyBorder="1" applyAlignment="1">
      <alignment horizontal="left" vertical="center"/>
    </xf>
    <xf numFmtId="0" fontId="21" fillId="12" borderId="80" xfId="0" applyFont="1" applyFill="1" applyBorder="1" applyAlignment="1">
      <alignment horizontal="left" vertical="center"/>
    </xf>
    <xf numFmtId="0" fontId="21" fillId="12" borderId="84" xfId="0" applyFont="1" applyFill="1" applyBorder="1" applyAlignment="1">
      <alignment horizontal="left" vertical="center"/>
    </xf>
    <xf numFmtId="166" fontId="23" fillId="0" borderId="76" xfId="0" applyNumberFormat="1" applyFont="1" applyBorder="1" applyAlignment="1">
      <alignment vertical="center"/>
    </xf>
    <xf numFmtId="166" fontId="23" fillId="0" borderId="101" xfId="0" applyNumberFormat="1" applyFont="1" applyBorder="1" applyAlignment="1">
      <alignment vertical="center"/>
    </xf>
    <xf numFmtId="0" fontId="46" fillId="0" borderId="0" xfId="0" applyFont="1" applyAlignment="1">
      <alignment horizontal="center" vertical="center"/>
    </xf>
    <xf numFmtId="0" fontId="46" fillId="0" borderId="20" xfId="0" applyFont="1" applyBorder="1" applyAlignment="1">
      <alignment vertical="center"/>
    </xf>
    <xf numFmtId="0" fontId="23" fillId="0" borderId="21" xfId="0" applyFont="1" applyBorder="1" applyAlignment="1">
      <alignment horizontal="center" vertical="center"/>
    </xf>
    <xf numFmtId="3" fontId="47" fillId="0" borderId="0" xfId="0" applyNumberFormat="1" applyFont="1" applyAlignment="1">
      <alignment horizontal="center" vertical="center"/>
    </xf>
    <xf numFmtId="166" fontId="46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3" fontId="11" fillId="0" borderId="0" xfId="0" applyNumberFormat="1" applyFont="1" applyAlignment="1">
      <alignment vertical="center"/>
    </xf>
    <xf numFmtId="168" fontId="11" fillId="0" borderId="0" xfId="1" applyNumberFormat="1" applyFont="1" applyBorder="1" applyAlignment="1">
      <alignment horizontal="center" vertical="center"/>
    </xf>
    <xf numFmtId="10" fontId="11" fillId="0" borderId="0" xfId="1" applyNumberFormat="1" applyFont="1" applyBorder="1" applyAlignment="1">
      <alignment horizontal="center" vertical="center"/>
    </xf>
    <xf numFmtId="170" fontId="11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70" fontId="23" fillId="0" borderId="12" xfId="0" applyNumberFormat="1" applyFont="1" applyBorder="1" applyAlignment="1">
      <alignment vertical="center"/>
    </xf>
    <xf numFmtId="170" fontId="23" fillId="0" borderId="18" xfId="0" applyNumberFormat="1" applyFont="1" applyBorder="1" applyAlignment="1">
      <alignment vertical="center"/>
    </xf>
    <xf numFmtId="165" fontId="23" fillId="0" borderId="95" xfId="0" applyNumberFormat="1" applyFont="1" applyBorder="1" applyAlignment="1">
      <alignment vertical="center"/>
    </xf>
    <xf numFmtId="165" fontId="23" fillId="0" borderId="104" xfId="0" applyNumberFormat="1" applyFont="1" applyBorder="1" applyAlignment="1">
      <alignment vertical="center"/>
    </xf>
    <xf numFmtId="165" fontId="23" fillId="0" borderId="105" xfId="0" applyNumberFormat="1" applyFont="1" applyBorder="1" applyAlignment="1">
      <alignment vertical="center" wrapText="1"/>
    </xf>
    <xf numFmtId="165" fontId="23" fillId="0" borderId="106" xfId="0" applyNumberFormat="1" applyFont="1" applyBorder="1" applyAlignment="1">
      <alignment vertical="center"/>
    </xf>
    <xf numFmtId="165" fontId="23" fillId="0" borderId="105" xfId="0" applyNumberFormat="1" applyFont="1" applyBorder="1" applyAlignment="1">
      <alignment vertical="center"/>
    </xf>
    <xf numFmtId="165" fontId="23" fillId="0" borderId="104" xfId="0" applyNumberFormat="1" applyFont="1" applyBorder="1" applyAlignment="1">
      <alignment vertical="center" wrapText="1"/>
    </xf>
    <xf numFmtId="165" fontId="23" fillId="0" borderId="107" xfId="0" applyNumberFormat="1" applyFont="1" applyBorder="1" applyAlignment="1">
      <alignment vertical="center" wrapText="1"/>
    </xf>
    <xf numFmtId="165" fontId="23" fillId="0" borderId="108" xfId="0" applyNumberFormat="1" applyFont="1" applyBorder="1" applyAlignment="1">
      <alignment vertical="center"/>
    </xf>
    <xf numFmtId="165" fontId="23" fillId="0" borderId="109" xfId="0" applyNumberFormat="1" applyFont="1" applyBorder="1" applyAlignment="1">
      <alignment vertical="center"/>
    </xf>
    <xf numFmtId="165" fontId="23" fillId="0" borderId="83" xfId="0" applyNumberFormat="1" applyFont="1" applyBorder="1" applyAlignment="1">
      <alignment vertical="center"/>
    </xf>
    <xf numFmtId="165" fontId="72" fillId="0" borderId="1" xfId="0" applyNumberFormat="1" applyFont="1" applyBorder="1" applyAlignment="1">
      <alignment horizontal="center" vertical="center" wrapText="1"/>
    </xf>
    <xf numFmtId="169" fontId="23" fillId="2" borderId="1" xfId="0" applyNumberFormat="1" applyFont="1" applyFill="1" applyBorder="1" applyAlignment="1" applyProtection="1">
      <alignment horizontal="center" vertical="center"/>
      <protection locked="0"/>
    </xf>
    <xf numFmtId="165" fontId="21" fillId="0" borderId="70" xfId="0" applyNumberFormat="1" applyFont="1" applyBorder="1" applyAlignment="1">
      <alignment horizontal="center" vertical="center"/>
    </xf>
    <xf numFmtId="165" fontId="21" fillId="0" borderId="73" xfId="0" applyNumberFormat="1" applyFont="1" applyBorder="1" applyAlignment="1">
      <alignment horizontal="center" vertical="center"/>
    </xf>
    <xf numFmtId="165" fontId="21" fillId="0" borderId="74" xfId="0" applyNumberFormat="1" applyFont="1" applyBorder="1" applyAlignment="1">
      <alignment horizontal="center" vertical="center"/>
    </xf>
    <xf numFmtId="165" fontId="21" fillId="0" borderId="50" xfId="0" applyNumberFormat="1" applyFont="1" applyBorder="1" applyAlignment="1">
      <alignment horizontal="center" vertical="center"/>
    </xf>
    <xf numFmtId="165" fontId="21" fillId="0" borderId="94" xfId="0" applyNumberFormat="1" applyFont="1" applyBorder="1" applyAlignment="1">
      <alignment horizontal="center" vertical="center"/>
    </xf>
    <xf numFmtId="0" fontId="73" fillId="0" borderId="33" xfId="0" applyFont="1" applyBorder="1" applyAlignment="1">
      <alignment horizontal="center" vertical="center"/>
    </xf>
    <xf numFmtId="0" fontId="73" fillId="0" borderId="49" xfId="0" applyFont="1" applyBorder="1" applyAlignment="1">
      <alignment horizontal="center" vertical="center"/>
    </xf>
    <xf numFmtId="0" fontId="73" fillId="0" borderId="39" xfId="0" applyFont="1" applyBorder="1" applyAlignment="1">
      <alignment horizontal="center" vertical="center"/>
    </xf>
    <xf numFmtId="165" fontId="20" fillId="0" borderId="73" xfId="0" applyNumberFormat="1" applyFont="1" applyBorder="1" applyAlignment="1">
      <alignment horizontal="center" vertical="center"/>
    </xf>
    <xf numFmtId="165" fontId="20" fillId="0" borderId="75" xfId="0" applyNumberFormat="1" applyFont="1" applyBorder="1" applyAlignment="1">
      <alignment horizontal="center" vertical="center" wrapText="1"/>
    </xf>
    <xf numFmtId="165" fontId="20" fillId="0" borderId="74" xfId="0" applyNumberFormat="1" applyFont="1" applyBorder="1" applyAlignment="1">
      <alignment horizontal="center" vertical="center"/>
    </xf>
    <xf numFmtId="165" fontId="20" fillId="0" borderId="75" xfId="0" applyNumberFormat="1" applyFont="1" applyBorder="1" applyAlignment="1">
      <alignment horizontal="center" vertical="center"/>
    </xf>
    <xf numFmtId="165" fontId="20" fillId="0" borderId="73" xfId="0" applyNumberFormat="1" applyFont="1" applyBorder="1" applyAlignment="1">
      <alignment horizontal="center" vertical="center" wrapText="1"/>
    </xf>
    <xf numFmtId="165" fontId="20" fillId="0" borderId="51" xfId="0" applyNumberFormat="1" applyFont="1" applyBorder="1" applyAlignment="1">
      <alignment horizontal="center" vertical="center" wrapText="1"/>
    </xf>
    <xf numFmtId="0" fontId="21" fillId="11" borderId="15" xfId="0" applyFont="1" applyFill="1" applyBorder="1" applyAlignment="1">
      <alignment horizontal="left" vertical="center"/>
    </xf>
    <xf numFmtId="170" fontId="27" fillId="0" borderId="103" xfId="0" applyNumberFormat="1" applyFont="1" applyBorder="1" applyAlignment="1">
      <alignment vertical="center"/>
    </xf>
    <xf numFmtId="0" fontId="102" fillId="0" borderId="112" xfId="0" applyFont="1" applyBorder="1" applyAlignment="1">
      <alignment horizontal="left" vertical="center"/>
    </xf>
    <xf numFmtId="170" fontId="11" fillId="0" borderId="97" xfId="0" applyNumberFormat="1" applyFont="1" applyBorder="1" applyAlignment="1">
      <alignment vertical="center"/>
    </xf>
    <xf numFmtId="170" fontId="11" fillId="0" borderId="61" xfId="0" applyNumberFormat="1" applyFont="1" applyBorder="1" applyAlignment="1">
      <alignment vertical="center"/>
    </xf>
    <xf numFmtId="170" fontId="11" fillId="0" borderId="6" xfId="0" applyNumberFormat="1" applyFont="1" applyBorder="1" applyAlignment="1">
      <alignment vertical="center"/>
    </xf>
    <xf numFmtId="170" fontId="39" fillId="0" borderId="45" xfId="0" applyNumberFormat="1" applyFont="1" applyBorder="1" applyAlignment="1">
      <alignment horizontal="left" vertical="center" indent="2"/>
    </xf>
    <xf numFmtId="170" fontId="39" fillId="0" borderId="60" xfId="0" applyNumberFormat="1" applyFont="1" applyBorder="1" applyAlignment="1">
      <alignment horizontal="left" vertical="center" indent="2"/>
    </xf>
    <xf numFmtId="170" fontId="39" fillId="0" borderId="43" xfId="0" applyNumberFormat="1" applyFont="1" applyBorder="1" applyAlignment="1">
      <alignment horizontal="left" vertical="center" indent="2"/>
    </xf>
    <xf numFmtId="170" fontId="38" fillId="0" borderId="45" xfId="0" applyNumberFormat="1" applyFont="1" applyBorder="1" applyAlignment="1">
      <alignment horizontal="left" vertical="center" indent="1"/>
    </xf>
    <xf numFmtId="170" fontId="38" fillId="0" borderId="43" xfId="0" applyNumberFormat="1" applyFont="1" applyBorder="1" applyAlignment="1">
      <alignment horizontal="left" vertical="center" indent="1"/>
    </xf>
    <xf numFmtId="170" fontId="38" fillId="0" borderId="114" xfId="0" applyNumberFormat="1" applyFont="1" applyBorder="1" applyAlignment="1">
      <alignment horizontal="left" vertical="center" indent="1"/>
    </xf>
    <xf numFmtId="170" fontId="12" fillId="0" borderId="0" xfId="0" applyNumberFormat="1" applyFont="1" applyAlignment="1">
      <alignment vertical="center"/>
    </xf>
    <xf numFmtId="170" fontId="23" fillId="0" borderId="30" xfId="0" applyNumberFormat="1" applyFont="1" applyBorder="1" applyAlignment="1">
      <alignment vertical="center"/>
    </xf>
    <xf numFmtId="170" fontId="23" fillId="0" borderId="31" xfId="0" applyNumberFormat="1" applyFont="1" applyBorder="1" applyAlignment="1">
      <alignment vertical="center"/>
    </xf>
    <xf numFmtId="0" fontId="12" fillId="0" borderId="115" xfId="0" applyFont="1" applyBorder="1" applyAlignment="1">
      <alignment vertical="center"/>
    </xf>
    <xf numFmtId="0" fontId="46" fillId="0" borderId="116" xfId="0" applyFont="1" applyBorder="1" applyAlignment="1">
      <alignment vertical="center"/>
    </xf>
    <xf numFmtId="0" fontId="46" fillId="0" borderId="27" xfId="0" applyFont="1" applyBorder="1" applyAlignment="1">
      <alignment vertical="center"/>
    </xf>
    <xf numFmtId="0" fontId="112" fillId="0" borderId="117" xfId="0" applyFont="1" applyBorder="1" applyAlignment="1">
      <alignment vertical="center"/>
    </xf>
    <xf numFmtId="0" fontId="112" fillId="0" borderId="118" xfId="0" applyFont="1" applyBorder="1" applyAlignment="1">
      <alignment vertical="center"/>
    </xf>
    <xf numFmtId="170" fontId="110" fillId="0" borderId="120" xfId="0" applyNumberFormat="1" applyFont="1" applyBorder="1" applyAlignment="1">
      <alignment vertical="center"/>
    </xf>
    <xf numFmtId="170" fontId="110" fillId="0" borderId="122" xfId="0" applyNumberFormat="1" applyFont="1" applyBorder="1" applyAlignment="1">
      <alignment vertical="center"/>
    </xf>
    <xf numFmtId="170" fontId="110" fillId="0" borderId="124" xfId="0" applyNumberFormat="1" applyFont="1" applyBorder="1" applyAlignment="1">
      <alignment vertical="center"/>
    </xf>
    <xf numFmtId="0" fontId="15" fillId="0" borderId="125" xfId="0" applyFont="1" applyBorder="1" applyAlignment="1">
      <alignment vertical="center"/>
    </xf>
    <xf numFmtId="0" fontId="15" fillId="0" borderId="126" xfId="0" applyFont="1" applyBorder="1" applyAlignment="1">
      <alignment vertical="center"/>
    </xf>
    <xf numFmtId="0" fontId="15" fillId="0" borderId="129" xfId="0" applyFont="1" applyBorder="1" applyAlignment="1">
      <alignment vertical="center"/>
    </xf>
    <xf numFmtId="0" fontId="15" fillId="0" borderId="127" xfId="0" applyFont="1" applyBorder="1" applyAlignment="1">
      <alignment vertical="center"/>
    </xf>
    <xf numFmtId="0" fontId="15" fillId="0" borderId="128" xfId="0" applyFont="1" applyBorder="1" applyAlignment="1">
      <alignment vertical="center"/>
    </xf>
    <xf numFmtId="0" fontId="15" fillId="0" borderId="130" xfId="0" applyFont="1" applyBorder="1" applyAlignment="1">
      <alignment vertical="center"/>
    </xf>
    <xf numFmtId="0" fontId="20" fillId="13" borderId="7" xfId="0" applyFont="1" applyFill="1" applyBorder="1" applyAlignment="1">
      <alignment horizontal="left" vertical="center"/>
    </xf>
    <xf numFmtId="0" fontId="20" fillId="13" borderId="13" xfId="0" applyFont="1" applyFill="1" applyBorder="1" applyAlignment="1">
      <alignment horizontal="left" vertical="center"/>
    </xf>
    <xf numFmtId="0" fontId="21" fillId="13" borderId="79" xfId="0" applyFont="1" applyFill="1" applyBorder="1" applyAlignment="1">
      <alignment horizontal="left" vertical="center"/>
    </xf>
    <xf numFmtId="0" fontId="21" fillId="13" borderId="81" xfId="0" applyFont="1" applyFill="1" applyBorder="1" applyAlignment="1">
      <alignment horizontal="left" vertical="center"/>
    </xf>
    <xf numFmtId="0" fontId="21" fillId="13" borderId="17" xfId="0" applyFont="1" applyFill="1" applyBorder="1" applyAlignment="1">
      <alignment horizontal="left" vertical="center"/>
    </xf>
    <xf numFmtId="0" fontId="21" fillId="12" borderId="82" xfId="0" applyFont="1" applyFill="1" applyBorder="1" applyAlignment="1">
      <alignment horizontal="left" vertical="center"/>
    </xf>
    <xf numFmtId="0" fontId="21" fillId="12" borderId="19" xfId="0" applyFont="1" applyFill="1" applyBorder="1" applyAlignment="1">
      <alignment horizontal="left" vertical="center"/>
    </xf>
    <xf numFmtId="0" fontId="65" fillId="15" borderId="5" xfId="0" quotePrefix="1" applyFont="1" applyFill="1" applyBorder="1" applyAlignment="1">
      <alignment horizontal="center" vertical="center"/>
    </xf>
    <xf numFmtId="0" fontId="30" fillId="7" borderId="4" xfId="0" quotePrefix="1" applyFont="1" applyFill="1" applyBorder="1" applyAlignment="1">
      <alignment horizontal="center" vertical="center"/>
    </xf>
    <xf numFmtId="0" fontId="30" fillId="7" borderId="5" xfId="0" quotePrefix="1" applyFont="1" applyFill="1" applyBorder="1" applyAlignment="1">
      <alignment horizontal="center" vertical="center"/>
    </xf>
    <xf numFmtId="0" fontId="30" fillId="7" borderId="6" xfId="0" quotePrefix="1" applyFont="1" applyFill="1" applyBorder="1" applyAlignment="1">
      <alignment horizontal="center" vertical="center"/>
    </xf>
    <xf numFmtId="0" fontId="25" fillId="6" borderId="4" xfId="0" quotePrefix="1" applyFont="1" applyFill="1" applyBorder="1" applyAlignment="1">
      <alignment horizontal="center" vertical="center"/>
    </xf>
    <xf numFmtId="0" fontId="25" fillId="6" borderId="5" xfId="0" quotePrefix="1" applyFont="1" applyFill="1" applyBorder="1" applyAlignment="1">
      <alignment horizontal="center" vertical="center"/>
    </xf>
    <xf numFmtId="0" fontId="25" fillId="6" borderId="6" xfId="0" quotePrefix="1" applyFont="1" applyFill="1" applyBorder="1" applyAlignment="1">
      <alignment horizontal="center" vertical="center"/>
    </xf>
    <xf numFmtId="0" fontId="21" fillId="12" borderId="30" xfId="0" applyFont="1" applyFill="1" applyBorder="1" applyAlignment="1">
      <alignment horizontal="left" vertical="center"/>
    </xf>
    <xf numFmtId="0" fontId="21" fillId="12" borderId="31" xfId="0" applyFont="1" applyFill="1" applyBorder="1" applyAlignment="1">
      <alignment horizontal="left" vertical="center"/>
    </xf>
    <xf numFmtId="0" fontId="79" fillId="15" borderId="102" xfId="0" applyFont="1" applyFill="1" applyBorder="1" applyAlignment="1">
      <alignment horizontal="left" vertical="center"/>
    </xf>
    <xf numFmtId="0" fontId="32" fillId="15" borderId="102" xfId="0" applyFont="1" applyFill="1" applyBorder="1" applyAlignment="1">
      <alignment horizontal="left" vertical="center"/>
    </xf>
    <xf numFmtId="170" fontId="25" fillId="15" borderId="4" xfId="0" applyNumberFormat="1" applyFont="1" applyFill="1" applyBorder="1" applyAlignment="1">
      <alignment vertical="center"/>
    </xf>
    <xf numFmtId="170" fontId="25" fillId="15" borderId="5" xfId="0" applyNumberFormat="1" applyFont="1" applyFill="1" applyBorder="1" applyAlignment="1">
      <alignment vertical="center"/>
    </xf>
    <xf numFmtId="170" fontId="25" fillId="15" borderId="6" xfId="0" applyNumberFormat="1" applyFont="1" applyFill="1" applyBorder="1" applyAlignment="1">
      <alignment vertical="center"/>
    </xf>
    <xf numFmtId="170" fontId="25" fillId="15" borderId="32" xfId="0" applyNumberFormat="1" applyFont="1" applyFill="1" applyBorder="1" applyAlignment="1">
      <alignment vertical="center"/>
    </xf>
    <xf numFmtId="0" fontId="25" fillId="15" borderId="32" xfId="0" quotePrefix="1" applyFont="1" applyFill="1" applyBorder="1" applyAlignment="1">
      <alignment horizontal="center" vertical="center"/>
    </xf>
    <xf numFmtId="0" fontId="79" fillId="16" borderId="102" xfId="0" applyFont="1" applyFill="1" applyBorder="1" applyAlignment="1">
      <alignment horizontal="left" vertical="center"/>
    </xf>
    <xf numFmtId="170" fontId="25" fillId="16" borderId="4" xfId="0" applyNumberFormat="1" applyFont="1" applyFill="1" applyBorder="1" applyAlignment="1">
      <alignment vertical="center"/>
    </xf>
    <xf numFmtId="170" fontId="25" fillId="16" borderId="5" xfId="0" applyNumberFormat="1" applyFont="1" applyFill="1" applyBorder="1" applyAlignment="1">
      <alignment vertical="center"/>
    </xf>
    <xf numFmtId="170" fontId="25" fillId="16" borderId="6" xfId="0" applyNumberFormat="1" applyFont="1" applyFill="1" applyBorder="1" applyAlignment="1">
      <alignment vertical="center"/>
    </xf>
    <xf numFmtId="0" fontId="32" fillId="16" borderId="102" xfId="0" applyFont="1" applyFill="1" applyBorder="1" applyAlignment="1">
      <alignment horizontal="left" vertical="center"/>
    </xf>
    <xf numFmtId="170" fontId="25" fillId="16" borderId="32" xfId="0" applyNumberFormat="1" applyFont="1" applyFill="1" applyBorder="1" applyAlignment="1">
      <alignment vertical="center"/>
    </xf>
    <xf numFmtId="0" fontId="25" fillId="16" borderId="32" xfId="0" quotePrefix="1" applyFont="1" applyFill="1" applyBorder="1" applyAlignment="1">
      <alignment horizontal="center" vertical="center"/>
    </xf>
    <xf numFmtId="0" fontId="21" fillId="13" borderId="30" xfId="0" applyFont="1" applyFill="1" applyBorder="1" applyAlignment="1">
      <alignment horizontal="left" vertical="center"/>
    </xf>
    <xf numFmtId="0" fontId="21" fillId="13" borderId="31" xfId="0" applyFont="1" applyFill="1" applyBorder="1" applyAlignment="1">
      <alignment horizontal="left" vertical="center"/>
    </xf>
    <xf numFmtId="0" fontId="37" fillId="7" borderId="2" xfId="0" applyFont="1" applyFill="1" applyBorder="1" applyAlignment="1">
      <alignment horizontal="center" vertical="center"/>
    </xf>
    <xf numFmtId="0" fontId="37" fillId="7" borderId="2" xfId="0" applyFont="1" applyFill="1" applyBorder="1" applyAlignment="1">
      <alignment vertical="center"/>
    </xf>
    <xf numFmtId="3" fontId="37" fillId="7" borderId="2" xfId="0" applyNumberFormat="1" applyFont="1" applyFill="1" applyBorder="1" applyAlignment="1">
      <alignment horizontal="center" vertical="center"/>
    </xf>
    <xf numFmtId="0" fontId="42" fillId="7" borderId="26" xfId="0" applyFont="1" applyFill="1" applyBorder="1" applyAlignment="1">
      <alignment horizontal="center" vertical="center"/>
    </xf>
    <xf numFmtId="0" fontId="42" fillId="7" borderId="2" xfId="0" applyFont="1" applyFill="1" applyBorder="1" applyAlignment="1">
      <alignment horizontal="center" vertical="center"/>
    </xf>
    <xf numFmtId="166" fontId="37" fillId="7" borderId="2" xfId="0" applyNumberFormat="1" applyFont="1" applyFill="1" applyBorder="1" applyAlignment="1">
      <alignment vertical="center"/>
    </xf>
    <xf numFmtId="0" fontId="25" fillId="13" borderId="2" xfId="0" applyFont="1" applyFill="1" applyBorder="1" applyAlignment="1">
      <alignment vertical="center"/>
    </xf>
    <xf numFmtId="0" fontId="79" fillId="13" borderId="2" xfId="0" applyFont="1" applyFill="1" applyBorder="1" applyAlignment="1">
      <alignment vertical="center"/>
    </xf>
    <xf numFmtId="0" fontId="32" fillId="13" borderId="2" xfId="0" applyFont="1" applyFill="1" applyBorder="1" applyAlignment="1">
      <alignment vertical="center"/>
    </xf>
    <xf numFmtId="165" fontId="25" fillId="13" borderId="2" xfId="0" applyNumberFormat="1" applyFont="1" applyFill="1" applyBorder="1" applyAlignment="1">
      <alignment vertical="center"/>
    </xf>
    <xf numFmtId="0" fontId="26" fillId="13" borderId="2" xfId="0" applyFont="1" applyFill="1" applyBorder="1" applyAlignment="1">
      <alignment horizontal="center" vertical="center"/>
    </xf>
    <xf numFmtId="165" fontId="25" fillId="13" borderId="26" xfId="0" applyNumberFormat="1" applyFont="1" applyFill="1" applyBorder="1" applyAlignment="1">
      <alignment vertical="center"/>
    </xf>
    <xf numFmtId="170" fontId="107" fillId="13" borderId="121" xfId="0" applyNumberFormat="1" applyFont="1" applyFill="1" applyBorder="1" applyAlignment="1">
      <alignment horizontal="left" vertical="center" indent="2"/>
    </xf>
    <xf numFmtId="170" fontId="107" fillId="13" borderId="123" xfId="0" applyNumberFormat="1" applyFont="1" applyFill="1" applyBorder="1" applyAlignment="1">
      <alignment horizontal="left" vertical="center" indent="2"/>
    </xf>
    <xf numFmtId="170" fontId="107" fillId="13" borderId="119" xfId="0" applyNumberFormat="1" applyFont="1" applyFill="1" applyBorder="1" applyAlignment="1">
      <alignment horizontal="left" vertical="center" indent="2"/>
    </xf>
    <xf numFmtId="165" fontId="62" fillId="13" borderId="47" xfId="0" applyNumberFormat="1" applyFont="1" applyFill="1" applyBorder="1" applyAlignment="1">
      <alignment horizontal="center" vertical="center"/>
    </xf>
    <xf numFmtId="0" fontId="20" fillId="13" borderId="99" xfId="0" applyFont="1" applyFill="1" applyBorder="1" applyAlignment="1">
      <alignment horizontal="left" vertical="center"/>
    </xf>
    <xf numFmtId="0" fontId="20" fillId="12" borderId="100" xfId="0" applyFont="1" applyFill="1" applyBorder="1" applyAlignment="1">
      <alignment horizontal="left" vertical="center"/>
    </xf>
    <xf numFmtId="0" fontId="31" fillId="6" borderId="5" xfId="0" quotePrefix="1" applyFont="1" applyFill="1" applyBorder="1" applyAlignment="1">
      <alignment horizontal="center" vertical="center"/>
    </xf>
    <xf numFmtId="0" fontId="20" fillId="11" borderId="131" xfId="0" applyFont="1" applyFill="1" applyBorder="1" applyAlignment="1">
      <alignment vertical="center"/>
    </xf>
    <xf numFmtId="0" fontId="21" fillId="11" borderId="86" xfId="0" applyFont="1" applyFill="1" applyBorder="1" applyAlignment="1">
      <alignment horizontal="left" vertical="center"/>
    </xf>
    <xf numFmtId="0" fontId="21" fillId="11" borderId="87" xfId="0" applyFont="1" applyFill="1" applyBorder="1" applyAlignment="1">
      <alignment horizontal="left" vertical="center"/>
    </xf>
    <xf numFmtId="0" fontId="21" fillId="11" borderId="18" xfId="0" applyFont="1" applyFill="1" applyBorder="1" applyAlignment="1">
      <alignment horizontal="left" vertical="center"/>
    </xf>
    <xf numFmtId="0" fontId="31" fillId="5" borderId="5" xfId="0" applyFont="1" applyFill="1" applyBorder="1" applyAlignment="1">
      <alignment horizontal="center" vertical="center"/>
    </xf>
    <xf numFmtId="0" fontId="25" fillId="3" borderId="3" xfId="0" applyFont="1" applyFill="1" applyBorder="1" applyAlignment="1">
      <alignment horizontal="left" vertical="center"/>
    </xf>
    <xf numFmtId="0" fontId="25" fillId="5" borderId="4" xfId="0" quotePrefix="1" applyFont="1" applyFill="1" applyBorder="1" applyAlignment="1">
      <alignment horizontal="center" vertical="center"/>
    </xf>
    <xf numFmtId="0" fontId="25" fillId="5" borderId="5" xfId="0" quotePrefix="1" applyFont="1" applyFill="1" applyBorder="1" applyAlignment="1">
      <alignment horizontal="center" vertical="center"/>
    </xf>
    <xf numFmtId="0" fontId="25" fillId="5" borderId="6" xfId="0" quotePrefix="1" applyFont="1" applyFill="1" applyBorder="1" applyAlignment="1">
      <alignment horizontal="center" vertical="center"/>
    </xf>
    <xf numFmtId="0" fontId="25" fillId="5" borderId="32" xfId="0" quotePrefix="1" applyFont="1" applyFill="1" applyBorder="1" applyAlignment="1">
      <alignment horizontal="center" vertical="center"/>
    </xf>
    <xf numFmtId="170" fontId="25" fillId="5" borderId="32" xfId="0" applyNumberFormat="1" applyFont="1" applyFill="1" applyBorder="1" applyAlignment="1">
      <alignment vertical="center"/>
    </xf>
    <xf numFmtId="0" fontId="79" fillId="5" borderId="102" xfId="0" applyFont="1" applyFill="1" applyBorder="1" applyAlignment="1">
      <alignment horizontal="left" vertical="center"/>
    </xf>
    <xf numFmtId="170" fontId="25" fillId="5" borderId="4" xfId="0" applyNumberFormat="1" applyFont="1" applyFill="1" applyBorder="1" applyAlignment="1">
      <alignment vertical="center"/>
    </xf>
    <xf numFmtId="170" fontId="25" fillId="5" borderId="5" xfId="0" applyNumberFormat="1" applyFont="1" applyFill="1" applyBorder="1" applyAlignment="1">
      <alignment vertical="center"/>
    </xf>
    <xf numFmtId="170" fontId="25" fillId="5" borderId="6" xfId="0" applyNumberFormat="1" applyFont="1" applyFill="1" applyBorder="1" applyAlignment="1">
      <alignment vertical="center"/>
    </xf>
    <xf numFmtId="0" fontId="32" fillId="5" borderId="102" xfId="0" applyFont="1" applyFill="1" applyBorder="1" applyAlignment="1">
      <alignment horizontal="left" vertical="center"/>
    </xf>
    <xf numFmtId="0" fontId="21" fillId="11" borderId="30" xfId="0" applyFont="1" applyFill="1" applyBorder="1" applyAlignment="1">
      <alignment horizontal="left" vertical="center"/>
    </xf>
    <xf numFmtId="0" fontId="21" fillId="11" borderId="31" xfId="0" applyFont="1" applyFill="1" applyBorder="1" applyAlignment="1">
      <alignment horizontal="left" vertical="center"/>
    </xf>
    <xf numFmtId="0" fontId="79" fillId="7" borderId="102" xfId="0" applyFont="1" applyFill="1" applyBorder="1" applyAlignment="1">
      <alignment horizontal="left" vertical="center"/>
    </xf>
    <xf numFmtId="170" fontId="25" fillId="7" borderId="4" xfId="0" applyNumberFormat="1" applyFont="1" applyFill="1" applyBorder="1" applyAlignment="1">
      <alignment vertical="center"/>
    </xf>
    <xf numFmtId="170" fontId="25" fillId="7" borderId="5" xfId="0" applyNumberFormat="1" applyFont="1" applyFill="1" applyBorder="1" applyAlignment="1">
      <alignment vertical="center"/>
    </xf>
    <xf numFmtId="170" fontId="25" fillId="7" borderId="6" xfId="0" applyNumberFormat="1" applyFont="1" applyFill="1" applyBorder="1" applyAlignment="1">
      <alignment vertical="center"/>
    </xf>
    <xf numFmtId="0" fontId="32" fillId="7" borderId="102" xfId="0" applyFont="1" applyFill="1" applyBorder="1" applyAlignment="1">
      <alignment horizontal="left" vertical="center"/>
    </xf>
    <xf numFmtId="0" fontId="25" fillId="6" borderId="32" xfId="0" quotePrefix="1" applyFont="1" applyFill="1" applyBorder="1" applyAlignment="1">
      <alignment horizontal="center" vertical="center"/>
    </xf>
    <xf numFmtId="0" fontId="79" fillId="6" borderId="102" xfId="0" applyFont="1" applyFill="1" applyBorder="1" applyAlignment="1">
      <alignment horizontal="left" vertical="center"/>
    </xf>
    <xf numFmtId="170" fontId="25" fillId="6" borderId="4" xfId="0" applyNumberFormat="1" applyFont="1" applyFill="1" applyBorder="1" applyAlignment="1">
      <alignment vertical="center"/>
    </xf>
    <xf numFmtId="170" fontId="25" fillId="6" borderId="5" xfId="0" applyNumberFormat="1" applyFont="1" applyFill="1" applyBorder="1" applyAlignment="1">
      <alignment vertical="center"/>
    </xf>
    <xf numFmtId="170" fontId="25" fillId="6" borderId="6" xfId="0" applyNumberFormat="1" applyFont="1" applyFill="1" applyBorder="1" applyAlignment="1">
      <alignment vertical="center"/>
    </xf>
    <xf numFmtId="0" fontId="32" fillId="6" borderId="102" xfId="0" applyFont="1" applyFill="1" applyBorder="1" applyAlignment="1">
      <alignment horizontal="left" vertical="center"/>
    </xf>
    <xf numFmtId="0" fontId="30" fillId="6" borderId="3" xfId="0" applyFont="1" applyFill="1" applyBorder="1" applyAlignment="1">
      <alignment horizontal="center" vertical="center"/>
    </xf>
    <xf numFmtId="0" fontId="30" fillId="5" borderId="3" xfId="0" applyFont="1" applyFill="1" applyBorder="1" applyAlignment="1">
      <alignment horizontal="center" vertical="center"/>
    </xf>
    <xf numFmtId="0" fontId="30" fillId="7" borderId="3" xfId="0" applyFont="1" applyFill="1" applyBorder="1" applyAlignment="1">
      <alignment horizontal="center" vertical="center"/>
    </xf>
    <xf numFmtId="0" fontId="31" fillId="0" borderId="22" xfId="0" applyFont="1" applyBorder="1" applyAlignment="1">
      <alignment vertical="center"/>
    </xf>
    <xf numFmtId="0" fontId="41" fillId="0" borderId="133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5" fillId="0" borderId="21" xfId="0" applyFont="1" applyBorder="1" applyAlignment="1">
      <alignment vertical="center"/>
    </xf>
    <xf numFmtId="0" fontId="26" fillId="0" borderId="133" xfId="0" applyFont="1" applyBorder="1" applyAlignment="1">
      <alignment vertical="center"/>
    </xf>
    <xf numFmtId="0" fontId="41" fillId="3" borderId="3" xfId="0" applyFont="1" applyFill="1" applyBorder="1" applyAlignment="1">
      <alignment horizontal="left" vertical="center"/>
    </xf>
    <xf numFmtId="0" fontId="26" fillId="3" borderId="3" xfId="0" applyFont="1" applyFill="1" applyBorder="1" applyAlignment="1">
      <alignment horizontal="left" vertical="center"/>
    </xf>
    <xf numFmtId="165" fontId="59" fillId="11" borderId="47" xfId="0" applyNumberFormat="1" applyFont="1" applyFill="1" applyBorder="1" applyAlignment="1">
      <alignment horizontal="center" vertical="center"/>
    </xf>
    <xf numFmtId="165" fontId="59" fillId="11" borderId="14" xfId="0" applyNumberFormat="1" applyFont="1" applyFill="1" applyBorder="1" applyAlignment="1">
      <alignment horizontal="center" vertical="center"/>
    </xf>
    <xf numFmtId="165" fontId="59" fillId="13" borderId="47" xfId="0" applyNumberFormat="1" applyFont="1" applyFill="1" applyBorder="1" applyAlignment="1">
      <alignment horizontal="center" vertical="center"/>
    </xf>
    <xf numFmtId="165" fontId="62" fillId="12" borderId="47" xfId="0" applyNumberFormat="1" applyFont="1" applyFill="1" applyBorder="1" applyAlignment="1">
      <alignment horizontal="center" vertical="center"/>
    </xf>
    <xf numFmtId="0" fontId="62" fillId="12" borderId="47" xfId="0" applyFont="1" applyFill="1" applyBorder="1" applyAlignment="1">
      <alignment horizontal="center" vertical="center"/>
    </xf>
    <xf numFmtId="0" fontId="15" fillId="0" borderId="134" xfId="0" applyFont="1" applyBorder="1" applyAlignment="1">
      <alignment vertical="center"/>
    </xf>
    <xf numFmtId="0" fontId="37" fillId="6" borderId="2" xfId="0" applyFont="1" applyFill="1" applyBorder="1" applyAlignment="1">
      <alignment horizontal="center" vertical="center"/>
    </xf>
    <xf numFmtId="0" fontId="37" fillId="6" borderId="2" xfId="0" applyFont="1" applyFill="1" applyBorder="1" applyAlignment="1">
      <alignment vertical="center"/>
    </xf>
    <xf numFmtId="3" fontId="37" fillId="6" borderId="2" xfId="0" applyNumberFormat="1" applyFont="1" applyFill="1" applyBorder="1" applyAlignment="1">
      <alignment horizontal="center" vertical="center"/>
    </xf>
    <xf numFmtId="0" fontId="42" fillId="6" borderId="26" xfId="0" quotePrefix="1" applyFont="1" applyFill="1" applyBorder="1" applyAlignment="1">
      <alignment horizontal="center" vertical="center"/>
    </xf>
    <xf numFmtId="0" fontId="42" fillId="6" borderId="2" xfId="0" quotePrefix="1" applyFont="1" applyFill="1" applyBorder="1" applyAlignment="1">
      <alignment horizontal="center" vertical="center"/>
    </xf>
    <xf numFmtId="166" fontId="37" fillId="6" borderId="2" xfId="0" applyNumberFormat="1" applyFont="1" applyFill="1" applyBorder="1" applyAlignment="1">
      <alignment vertical="center"/>
    </xf>
    <xf numFmtId="0" fontId="25" fillId="12" borderId="2" xfId="0" applyFont="1" applyFill="1" applyBorder="1" applyAlignment="1">
      <alignment vertical="center"/>
    </xf>
    <xf numFmtId="165" fontId="32" fillId="12" borderId="2" xfId="0" applyNumberFormat="1" applyFont="1" applyFill="1" applyBorder="1" applyAlignment="1">
      <alignment horizontal="left" vertical="center"/>
    </xf>
    <xf numFmtId="0" fontId="86" fillId="12" borderId="2" xfId="0" applyFont="1" applyFill="1" applyBorder="1" applyAlignment="1">
      <alignment horizontal="left" vertical="center"/>
    </xf>
    <xf numFmtId="0" fontId="79" fillId="12" borderId="2" xfId="0" applyFont="1" applyFill="1" applyBorder="1" applyAlignment="1">
      <alignment horizontal="left" vertical="center"/>
    </xf>
    <xf numFmtId="165" fontId="25" fillId="12" borderId="2" xfId="0" applyNumberFormat="1" applyFont="1" applyFill="1" applyBorder="1" applyAlignment="1">
      <alignment vertical="center"/>
    </xf>
    <xf numFmtId="0" fontId="26" fillId="12" borderId="2" xfId="0" applyFont="1" applyFill="1" applyBorder="1" applyAlignment="1">
      <alignment horizontal="center" vertical="center"/>
    </xf>
    <xf numFmtId="165" fontId="25" fillId="12" borderId="26" xfId="0" applyNumberFormat="1" applyFont="1" applyFill="1" applyBorder="1" applyAlignment="1">
      <alignment vertical="center"/>
    </xf>
    <xf numFmtId="0" fontId="32" fillId="0" borderId="14" xfId="0" applyFont="1" applyBorder="1" applyAlignment="1">
      <alignment horizontal="left" vertical="center"/>
    </xf>
    <xf numFmtId="165" fontId="23" fillId="0" borderId="21" xfId="0" quotePrefix="1" applyNumberFormat="1" applyFont="1" applyBorder="1" applyAlignment="1">
      <alignment vertical="center"/>
    </xf>
    <xf numFmtId="165" fontId="77" fillId="0" borderId="0" xfId="0" applyNumberFormat="1" applyFont="1" applyAlignment="1">
      <alignment horizontal="left" vertical="center" indent="1"/>
    </xf>
    <xf numFmtId="0" fontId="29" fillId="5" borderId="2" xfId="0" applyFont="1" applyFill="1" applyBorder="1" applyAlignment="1">
      <alignment horizontal="center" vertical="center"/>
    </xf>
    <xf numFmtId="0" fontId="29" fillId="5" borderId="2" xfId="0" applyFont="1" applyFill="1" applyBorder="1" applyAlignment="1">
      <alignment vertical="center"/>
    </xf>
    <xf numFmtId="0" fontId="42" fillId="5" borderId="26" xfId="0" applyFont="1" applyFill="1" applyBorder="1" applyAlignment="1">
      <alignment horizontal="center" vertical="center"/>
    </xf>
    <xf numFmtId="0" fontId="42" fillId="5" borderId="2" xfId="0" applyFont="1" applyFill="1" applyBorder="1" applyAlignment="1">
      <alignment horizontal="center" vertical="center"/>
    </xf>
    <xf numFmtId="166" fontId="29" fillId="5" borderId="2" xfId="0" applyNumberFormat="1" applyFont="1" applyFill="1" applyBorder="1" applyAlignment="1">
      <alignment vertical="center"/>
    </xf>
    <xf numFmtId="0" fontId="25" fillId="11" borderId="2" xfId="0" applyFont="1" applyFill="1" applyBorder="1" applyAlignment="1">
      <alignment vertical="center"/>
    </xf>
    <xf numFmtId="165" fontId="25" fillId="11" borderId="2" xfId="0" applyNumberFormat="1" applyFont="1" applyFill="1" applyBorder="1" applyAlignment="1">
      <alignment vertical="center"/>
    </xf>
    <xf numFmtId="0" fontId="25" fillId="11" borderId="2" xfId="0" applyFont="1" applyFill="1" applyBorder="1" applyAlignment="1">
      <alignment horizontal="center" vertical="center"/>
    </xf>
    <xf numFmtId="0" fontId="26" fillId="11" borderId="2" xfId="0" applyFont="1" applyFill="1" applyBorder="1" applyAlignment="1">
      <alignment horizontal="center" vertical="center"/>
    </xf>
    <xf numFmtId="165" fontId="25" fillId="11" borderId="26" xfId="0" applyNumberFormat="1" applyFont="1" applyFill="1" applyBorder="1" applyAlignment="1">
      <alignment vertical="center"/>
    </xf>
    <xf numFmtId="165" fontId="20" fillId="0" borderId="21" xfId="0" quotePrefix="1" applyNumberFormat="1" applyFont="1" applyBorder="1" applyAlignment="1">
      <alignment vertical="center"/>
    </xf>
    <xf numFmtId="0" fontId="32" fillId="0" borderId="48" xfId="0" applyFont="1" applyBorder="1" applyAlignment="1">
      <alignment horizontal="left" vertical="center"/>
    </xf>
    <xf numFmtId="165" fontId="25" fillId="0" borderId="48" xfId="0" applyNumberFormat="1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166" fontId="10" fillId="0" borderId="0" xfId="0" applyNumberFormat="1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170" fontId="107" fillId="12" borderId="121" xfId="0" applyNumberFormat="1" applyFont="1" applyFill="1" applyBorder="1" applyAlignment="1">
      <alignment horizontal="left" vertical="center" indent="2"/>
    </xf>
    <xf numFmtId="170" fontId="107" fillId="12" borderId="123" xfId="0" applyNumberFormat="1" applyFont="1" applyFill="1" applyBorder="1" applyAlignment="1">
      <alignment horizontal="left" vertical="center" indent="2"/>
    </xf>
    <xf numFmtId="170" fontId="107" fillId="12" borderId="119" xfId="0" applyNumberFormat="1" applyFont="1" applyFill="1" applyBorder="1" applyAlignment="1">
      <alignment horizontal="left" vertical="center" indent="2"/>
    </xf>
    <xf numFmtId="170" fontId="107" fillId="11" borderId="121" xfId="0" applyNumberFormat="1" applyFont="1" applyFill="1" applyBorder="1" applyAlignment="1">
      <alignment horizontal="left" vertical="center" indent="2"/>
    </xf>
    <xf numFmtId="170" fontId="107" fillId="11" borderId="123" xfId="0" applyNumberFormat="1" applyFont="1" applyFill="1" applyBorder="1" applyAlignment="1">
      <alignment horizontal="left" vertical="center" indent="2"/>
    </xf>
    <xf numFmtId="170" fontId="107" fillId="11" borderId="119" xfId="0" applyNumberFormat="1" applyFont="1" applyFill="1" applyBorder="1" applyAlignment="1">
      <alignment horizontal="left" vertical="center" indent="2"/>
    </xf>
    <xf numFmtId="0" fontId="113" fillId="17" borderId="135" xfId="0" applyFont="1" applyFill="1" applyBorder="1" applyAlignment="1">
      <alignment vertical="center"/>
    </xf>
    <xf numFmtId="0" fontId="113" fillId="17" borderId="135" xfId="0" applyFont="1" applyFill="1" applyBorder="1" applyAlignment="1">
      <alignment horizontal="center" vertical="center"/>
    </xf>
    <xf numFmtId="0" fontId="115" fillId="17" borderId="135" xfId="0" applyFont="1" applyFill="1" applyBorder="1" applyAlignment="1">
      <alignment horizontal="centerContinuous" vertical="center"/>
    </xf>
    <xf numFmtId="0" fontId="114" fillId="17" borderId="135" xfId="0" applyFont="1" applyFill="1" applyBorder="1" applyAlignment="1">
      <alignment vertical="center"/>
    </xf>
    <xf numFmtId="0" fontId="65" fillId="18" borderId="4" xfId="0" applyFont="1" applyFill="1" applyBorder="1" applyAlignment="1">
      <alignment horizontal="center" vertical="center"/>
    </xf>
    <xf numFmtId="0" fontId="65" fillId="18" borderId="5" xfId="0" applyFont="1" applyFill="1" applyBorder="1" applyAlignment="1">
      <alignment horizontal="center" vertical="center"/>
    </xf>
    <xf numFmtId="0" fontId="65" fillId="18" borderId="6" xfId="0" applyFont="1" applyFill="1" applyBorder="1" applyAlignment="1">
      <alignment horizontal="center" vertical="center"/>
    </xf>
    <xf numFmtId="0" fontId="58" fillId="18" borderId="40" xfId="0" applyFont="1" applyFill="1" applyBorder="1" applyAlignment="1">
      <alignment horizontal="center" vertical="center" wrapText="1"/>
    </xf>
    <xf numFmtId="170" fontId="107" fillId="12" borderId="136" xfId="0" applyNumberFormat="1" applyFont="1" applyFill="1" applyBorder="1" applyAlignment="1">
      <alignment horizontal="left" vertical="center" indent="2"/>
    </xf>
    <xf numFmtId="170" fontId="107" fillId="12" borderId="137" xfId="0" applyNumberFormat="1" applyFont="1" applyFill="1" applyBorder="1" applyAlignment="1">
      <alignment horizontal="left" vertical="center" indent="2"/>
    </xf>
    <xf numFmtId="170" fontId="107" fillId="12" borderId="138" xfId="0" applyNumberFormat="1" applyFont="1" applyFill="1" applyBorder="1" applyAlignment="1">
      <alignment horizontal="left" vertical="center" indent="2"/>
    </xf>
    <xf numFmtId="170" fontId="107" fillId="13" borderId="139" xfId="0" applyNumberFormat="1" applyFont="1" applyFill="1" applyBorder="1" applyAlignment="1">
      <alignment horizontal="left" vertical="center" indent="2"/>
    </xf>
    <xf numFmtId="170" fontId="107" fillId="13" borderId="141" xfId="0" applyNumberFormat="1" applyFont="1" applyFill="1" applyBorder="1" applyAlignment="1">
      <alignment horizontal="left" vertical="center" indent="2"/>
    </xf>
    <xf numFmtId="170" fontId="107" fillId="13" borderId="143" xfId="0" applyNumberFormat="1" applyFont="1" applyFill="1" applyBorder="1" applyAlignment="1">
      <alignment horizontal="left" vertical="center" indent="2"/>
    </xf>
    <xf numFmtId="0" fontId="73" fillId="14" borderId="34" xfId="0" applyFont="1" applyFill="1" applyBorder="1" applyAlignment="1">
      <alignment horizontal="center" vertical="center"/>
    </xf>
    <xf numFmtId="0" fontId="73" fillId="14" borderId="71" xfId="0" applyFont="1" applyFill="1" applyBorder="1" applyAlignment="1">
      <alignment horizontal="center" vertical="center"/>
    </xf>
    <xf numFmtId="0" fontId="73" fillId="14" borderId="72" xfId="0" applyFont="1" applyFill="1" applyBorder="1" applyAlignment="1">
      <alignment horizontal="center" vertical="center"/>
    </xf>
    <xf numFmtId="0" fontId="73" fillId="14" borderId="35" xfId="0" applyFont="1" applyFill="1" applyBorder="1" applyAlignment="1">
      <alignment horizontal="center" vertical="center"/>
    </xf>
    <xf numFmtId="0" fontId="49" fillId="14" borderId="55" xfId="0" applyFont="1" applyFill="1" applyBorder="1" applyAlignment="1">
      <alignment horizontal="center" vertical="center"/>
    </xf>
    <xf numFmtId="0" fontId="49" fillId="14" borderId="59" xfId="0" applyFont="1" applyFill="1" applyBorder="1" applyAlignment="1">
      <alignment horizontal="center" vertical="center"/>
    </xf>
    <xf numFmtId="0" fontId="15" fillId="18" borderId="4" xfId="0" applyFont="1" applyFill="1" applyBorder="1" applyAlignment="1">
      <alignment horizontal="center" vertical="center"/>
    </xf>
    <xf numFmtId="0" fontId="15" fillId="18" borderId="5" xfId="0" applyFont="1" applyFill="1" applyBorder="1" applyAlignment="1">
      <alignment horizontal="center" vertical="center"/>
    </xf>
    <xf numFmtId="0" fontId="15" fillId="18" borderId="6" xfId="0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3" fontId="34" fillId="0" borderId="0" xfId="0" applyNumberFormat="1" applyFont="1" applyAlignment="1">
      <alignment vertical="center"/>
    </xf>
    <xf numFmtId="170" fontId="34" fillId="0" borderId="0" xfId="0" applyNumberFormat="1" applyFont="1" applyAlignment="1">
      <alignment vertical="center"/>
    </xf>
    <xf numFmtId="3" fontId="33" fillId="0" borderId="0" xfId="0" applyNumberFormat="1" applyFont="1" applyAlignment="1">
      <alignment vertical="center"/>
    </xf>
    <xf numFmtId="168" fontId="33" fillId="0" borderId="0" xfId="1" applyNumberFormat="1" applyFont="1" applyBorder="1" applyAlignment="1">
      <alignment horizontal="center" vertical="center"/>
    </xf>
    <xf numFmtId="10" fontId="33" fillId="0" borderId="0" xfId="1" applyNumberFormat="1" applyFont="1" applyBorder="1" applyAlignment="1">
      <alignment horizontal="center" vertical="center"/>
    </xf>
    <xf numFmtId="3" fontId="116" fillId="0" borderId="0" xfId="0" applyNumberFormat="1" applyFont="1" applyAlignment="1">
      <alignment vertical="center"/>
    </xf>
    <xf numFmtId="0" fontId="46" fillId="0" borderId="145" xfId="0" applyFont="1" applyBorder="1" applyAlignment="1">
      <alignment vertical="center"/>
    </xf>
    <xf numFmtId="0" fontId="0" fillId="0" borderId="146" xfId="0" applyBorder="1"/>
    <xf numFmtId="0" fontId="11" fillId="0" borderId="147" xfId="0" applyFont="1" applyBorder="1" applyAlignment="1">
      <alignment vertical="center"/>
    </xf>
    <xf numFmtId="0" fontId="30" fillId="18" borderId="36" xfId="0" applyFont="1" applyFill="1" applyBorder="1" applyAlignment="1">
      <alignment horizontal="centerContinuous" vertical="center" wrapText="1"/>
    </xf>
    <xf numFmtId="0" fontId="100" fillId="18" borderId="32" xfId="0" applyFont="1" applyFill="1" applyBorder="1" applyAlignment="1">
      <alignment horizontal="centerContinuous" vertical="center" wrapText="1"/>
    </xf>
    <xf numFmtId="0" fontId="11" fillId="0" borderId="148" xfId="0" applyFont="1" applyBorder="1" applyAlignment="1">
      <alignment vertical="center"/>
    </xf>
    <xf numFmtId="0" fontId="30" fillId="0" borderId="148" xfId="0" applyFont="1" applyBorder="1" applyAlignment="1">
      <alignment horizontal="center" vertical="center"/>
    </xf>
    <xf numFmtId="3" fontId="23" fillId="0" borderId="148" xfId="0" applyNumberFormat="1" applyFont="1" applyBorder="1" applyAlignment="1">
      <alignment vertical="center"/>
    </xf>
    <xf numFmtId="165" fontId="23" fillId="0" borderId="148" xfId="0" applyNumberFormat="1" applyFont="1" applyBorder="1" applyAlignment="1">
      <alignment vertical="center"/>
    </xf>
    <xf numFmtId="170" fontId="23" fillId="0" borderId="148" xfId="0" applyNumberFormat="1" applyFont="1" applyBorder="1" applyAlignment="1">
      <alignment vertical="center"/>
    </xf>
    <xf numFmtId="3" fontId="11" fillId="0" borderId="148" xfId="0" applyNumberFormat="1" applyFont="1" applyBorder="1" applyAlignment="1">
      <alignment vertical="center"/>
    </xf>
    <xf numFmtId="168" fontId="11" fillId="0" borderId="148" xfId="1" applyNumberFormat="1" applyFont="1" applyBorder="1" applyAlignment="1">
      <alignment horizontal="center" vertical="center"/>
    </xf>
    <xf numFmtId="10" fontId="11" fillId="0" borderId="148" xfId="1" applyNumberFormat="1" applyFont="1" applyBorder="1" applyAlignment="1">
      <alignment horizontal="center" vertical="center"/>
    </xf>
    <xf numFmtId="3" fontId="51" fillId="0" borderId="148" xfId="0" applyNumberFormat="1" applyFont="1" applyBorder="1" applyAlignment="1">
      <alignment vertical="center"/>
    </xf>
    <xf numFmtId="0" fontId="11" fillId="0" borderId="149" xfId="0" applyFont="1" applyBorder="1" applyAlignment="1">
      <alignment vertical="center"/>
    </xf>
    <xf numFmtId="0" fontId="30" fillId="0" borderId="149" xfId="0" applyFont="1" applyBorder="1" applyAlignment="1">
      <alignment horizontal="center" vertical="center"/>
    </xf>
    <xf numFmtId="3" fontId="23" fillId="0" borderId="149" xfId="0" applyNumberFormat="1" applyFont="1" applyBorder="1" applyAlignment="1">
      <alignment vertical="center"/>
    </xf>
    <xf numFmtId="165" fontId="23" fillId="0" borderId="149" xfId="0" applyNumberFormat="1" applyFont="1" applyBorder="1" applyAlignment="1">
      <alignment vertical="center"/>
    </xf>
    <xf numFmtId="170" fontId="23" fillId="0" borderId="149" xfId="0" applyNumberFormat="1" applyFont="1" applyBorder="1" applyAlignment="1">
      <alignment vertical="center"/>
    </xf>
    <xf numFmtId="3" fontId="11" fillId="0" borderId="149" xfId="0" applyNumberFormat="1" applyFont="1" applyBorder="1" applyAlignment="1">
      <alignment vertical="center"/>
    </xf>
    <xf numFmtId="168" fontId="11" fillId="0" borderId="149" xfId="1" applyNumberFormat="1" applyFont="1" applyBorder="1" applyAlignment="1">
      <alignment horizontal="center" vertical="center"/>
    </xf>
    <xf numFmtId="10" fontId="11" fillId="0" borderId="149" xfId="1" applyNumberFormat="1" applyFont="1" applyBorder="1" applyAlignment="1">
      <alignment horizontal="center" vertical="center"/>
    </xf>
    <xf numFmtId="3" fontId="51" fillId="0" borderId="149" xfId="0" applyNumberFormat="1" applyFont="1" applyBorder="1" applyAlignment="1">
      <alignment vertical="center"/>
    </xf>
    <xf numFmtId="0" fontId="100" fillId="18" borderId="40" xfId="0" applyFont="1" applyFill="1" applyBorder="1" applyAlignment="1">
      <alignment horizontal="centerContinuous" vertical="center" wrapText="1"/>
    </xf>
    <xf numFmtId="0" fontId="18" fillId="7" borderId="1" xfId="0" applyFont="1" applyFill="1" applyBorder="1" applyAlignment="1">
      <alignment horizontal="center" vertical="center"/>
    </xf>
    <xf numFmtId="0" fontId="20" fillId="13" borderId="150" xfId="0" applyFont="1" applyFill="1" applyBorder="1" applyAlignment="1">
      <alignment horizontal="left" vertical="center"/>
    </xf>
    <xf numFmtId="0" fontId="20" fillId="13" borderId="100" xfId="0" applyFont="1" applyFill="1" applyBorder="1" applyAlignment="1">
      <alignment horizontal="left" vertical="center"/>
    </xf>
    <xf numFmtId="0" fontId="20" fillId="13" borderId="16" xfId="0" applyFont="1" applyFill="1" applyBorder="1" applyAlignment="1">
      <alignment horizontal="left" vertical="center"/>
    </xf>
    <xf numFmtId="0" fontId="21" fillId="13" borderId="80" xfId="0" applyFont="1" applyFill="1" applyBorder="1" applyAlignment="1">
      <alignment horizontal="left" vertical="center"/>
    </xf>
    <xf numFmtId="0" fontId="21" fillId="13" borderId="82" xfId="0" applyFont="1" applyFill="1" applyBorder="1" applyAlignment="1">
      <alignment horizontal="left" vertical="center"/>
    </xf>
    <xf numFmtId="0" fontId="21" fillId="13" borderId="151" xfId="0" applyFont="1" applyFill="1" applyBorder="1" applyAlignment="1">
      <alignment horizontal="left" vertical="center"/>
    </xf>
    <xf numFmtId="0" fontId="65" fillId="7" borderId="132" xfId="0" quotePrefix="1" applyFont="1" applyFill="1" applyBorder="1" applyAlignment="1">
      <alignment horizontal="center" vertical="center"/>
    </xf>
    <xf numFmtId="0" fontId="117" fillId="0" borderId="152" xfId="0" applyFont="1" applyBorder="1" applyAlignment="1">
      <alignment vertical="center"/>
    </xf>
    <xf numFmtId="0" fontId="117" fillId="0" borderId="152" xfId="0" applyFont="1" applyBorder="1" applyAlignment="1">
      <alignment horizontal="right" vertical="center" indent="1"/>
    </xf>
    <xf numFmtId="3" fontId="117" fillId="2" borderId="153" xfId="0" applyNumberFormat="1" applyFont="1" applyFill="1" applyBorder="1" applyAlignment="1" applyProtection="1">
      <alignment horizontal="center" vertical="center"/>
      <protection locked="0"/>
    </xf>
    <xf numFmtId="0" fontId="20" fillId="11" borderId="150" xfId="0" applyFont="1" applyFill="1" applyBorder="1" applyAlignment="1">
      <alignment vertical="center"/>
    </xf>
    <xf numFmtId="0" fontId="20" fillId="11" borderId="100" xfId="0" applyFont="1" applyFill="1" applyBorder="1" applyAlignment="1">
      <alignment vertical="center"/>
    </xf>
    <xf numFmtId="0" fontId="21" fillId="11" borderId="80" xfId="0" applyFont="1" applyFill="1" applyBorder="1" applyAlignment="1">
      <alignment horizontal="left" vertical="center"/>
    </xf>
    <xf numFmtId="0" fontId="21" fillId="11" borderId="82" xfId="0" applyFont="1" applyFill="1" applyBorder="1" applyAlignment="1">
      <alignment horizontal="left" vertical="center"/>
    </xf>
    <xf numFmtId="0" fontId="21" fillId="11" borderId="151" xfId="0" applyFont="1" applyFill="1" applyBorder="1" applyAlignment="1">
      <alignment horizontal="left" vertical="center"/>
    </xf>
    <xf numFmtId="0" fontId="65" fillId="5" borderId="1" xfId="0" applyFont="1" applyFill="1" applyBorder="1" applyAlignment="1">
      <alignment horizontal="center" vertical="center"/>
    </xf>
    <xf numFmtId="0" fontId="118" fillId="19" borderId="3" xfId="0" applyFont="1" applyFill="1" applyBorder="1" applyAlignment="1">
      <alignment vertical="center"/>
    </xf>
    <xf numFmtId="0" fontId="114" fillId="19" borderId="3" xfId="0" applyFont="1" applyFill="1" applyBorder="1" applyAlignment="1">
      <alignment vertical="center"/>
    </xf>
    <xf numFmtId="0" fontId="115" fillId="19" borderId="3" xfId="0" applyFont="1" applyFill="1" applyBorder="1" applyAlignment="1">
      <alignment horizontal="center" vertical="center"/>
    </xf>
    <xf numFmtId="0" fontId="115" fillId="19" borderId="3" xfId="0" applyFont="1" applyFill="1" applyBorder="1" applyAlignment="1">
      <alignment vertical="center"/>
    </xf>
    <xf numFmtId="0" fontId="119" fillId="19" borderId="3" xfId="0" applyFont="1" applyFill="1" applyBorder="1" applyAlignment="1">
      <alignment vertical="center"/>
    </xf>
    <xf numFmtId="0" fontId="113" fillId="19" borderId="3" xfId="0" applyFont="1" applyFill="1" applyBorder="1" applyAlignment="1">
      <alignment vertical="center"/>
    </xf>
    <xf numFmtId="0" fontId="21" fillId="13" borderId="7" xfId="0" applyFont="1" applyFill="1" applyBorder="1" applyAlignment="1">
      <alignment horizontal="left" vertical="center"/>
    </xf>
    <xf numFmtId="0" fontId="21" fillId="11" borderId="12" xfId="0" applyFont="1" applyFill="1" applyBorder="1" applyAlignment="1">
      <alignment horizontal="left" vertical="center"/>
    </xf>
    <xf numFmtId="0" fontId="21" fillId="11" borderId="88" xfId="0" applyFont="1" applyFill="1" applyBorder="1" applyAlignment="1">
      <alignment horizontal="left" vertical="center"/>
    </xf>
    <xf numFmtId="0" fontId="21" fillId="11" borderId="90" xfId="0" applyFont="1" applyFill="1" applyBorder="1" applyAlignment="1">
      <alignment horizontal="left" vertical="center"/>
    </xf>
    <xf numFmtId="0" fontId="21" fillId="12" borderId="85" xfId="0" applyFont="1" applyFill="1" applyBorder="1" applyAlignment="1">
      <alignment horizontal="left" vertical="center"/>
    </xf>
    <xf numFmtId="0" fontId="21" fillId="13" borderId="89" xfId="0" applyFont="1" applyFill="1" applyBorder="1" applyAlignment="1">
      <alignment horizontal="left" vertical="center"/>
    </xf>
    <xf numFmtId="0" fontId="21" fillId="13" borderId="91" xfId="0" applyFont="1" applyFill="1" applyBorder="1" applyAlignment="1">
      <alignment horizontal="left" vertical="center"/>
    </xf>
    <xf numFmtId="0" fontId="20" fillId="13" borderId="10" xfId="0" applyFont="1" applyFill="1" applyBorder="1" applyAlignment="1">
      <alignment horizontal="center" vertical="center"/>
    </xf>
    <xf numFmtId="0" fontId="20" fillId="13" borderId="79" xfId="0" applyFont="1" applyFill="1" applyBorder="1" applyAlignment="1">
      <alignment horizontal="center" vertical="center"/>
    </xf>
    <xf numFmtId="0" fontId="20" fillId="13" borderId="81" xfId="0" applyFont="1" applyFill="1" applyBorder="1" applyAlignment="1">
      <alignment horizontal="center" vertical="center"/>
    </xf>
    <xf numFmtId="0" fontId="20" fillId="13" borderId="17" xfId="0" applyFont="1" applyFill="1" applyBorder="1" applyAlignment="1">
      <alignment horizontal="center" vertical="center"/>
    </xf>
    <xf numFmtId="0" fontId="20" fillId="13" borderId="89" xfId="0" applyFont="1" applyFill="1" applyBorder="1" applyAlignment="1">
      <alignment horizontal="center" vertical="center"/>
    </xf>
    <xf numFmtId="0" fontId="20" fillId="13" borderId="91" xfId="0" applyFont="1" applyFill="1" applyBorder="1" applyAlignment="1">
      <alignment horizontal="center" vertical="center"/>
    </xf>
    <xf numFmtId="0" fontId="118" fillId="20" borderId="3" xfId="0" applyFont="1" applyFill="1" applyBorder="1" applyAlignment="1">
      <alignment vertical="center"/>
    </xf>
    <xf numFmtId="0" fontId="114" fillId="20" borderId="3" xfId="0" applyFont="1" applyFill="1" applyBorder="1" applyAlignment="1">
      <alignment vertical="center"/>
    </xf>
    <xf numFmtId="0" fontId="115" fillId="20" borderId="3" xfId="0" applyFont="1" applyFill="1" applyBorder="1" applyAlignment="1">
      <alignment horizontal="center" vertical="center"/>
    </xf>
    <xf numFmtId="0" fontId="115" fillId="20" borderId="3" xfId="0" applyFont="1" applyFill="1" applyBorder="1" applyAlignment="1">
      <alignment vertical="center"/>
    </xf>
    <xf numFmtId="0" fontId="119" fillId="20" borderId="3" xfId="0" applyFont="1" applyFill="1" applyBorder="1" applyAlignment="1">
      <alignment vertical="center"/>
    </xf>
    <xf numFmtId="0" fontId="113" fillId="20" borderId="3" xfId="0" applyFont="1" applyFill="1" applyBorder="1" applyAlignment="1">
      <alignment vertical="center"/>
    </xf>
    <xf numFmtId="0" fontId="21" fillId="11" borderId="88" xfId="0" applyFont="1" applyFill="1" applyBorder="1" applyAlignment="1">
      <alignment horizontal="center" vertical="center"/>
    </xf>
    <xf numFmtId="0" fontId="21" fillId="11" borderId="90" xfId="0" applyFont="1" applyFill="1" applyBorder="1" applyAlignment="1">
      <alignment horizontal="center" vertical="center"/>
    </xf>
    <xf numFmtId="0" fontId="21" fillId="11" borderId="12" xfId="0" applyFont="1" applyFill="1" applyBorder="1" applyAlignment="1">
      <alignment horizontal="center" vertical="center"/>
    </xf>
    <xf numFmtId="0" fontId="21" fillId="11" borderId="86" xfId="0" applyFont="1" applyFill="1" applyBorder="1" applyAlignment="1">
      <alignment horizontal="center" vertical="center"/>
    </xf>
    <xf numFmtId="0" fontId="21" fillId="11" borderId="87" xfId="0" applyFont="1" applyFill="1" applyBorder="1" applyAlignment="1">
      <alignment horizontal="center" vertical="center"/>
    </xf>
    <xf numFmtId="0" fontId="21" fillId="11" borderId="18" xfId="0" applyFont="1" applyFill="1" applyBorder="1" applyAlignment="1">
      <alignment horizontal="center" vertical="center"/>
    </xf>
    <xf numFmtId="0" fontId="20" fillId="13" borderId="7" xfId="0" applyFont="1" applyFill="1" applyBorder="1" applyAlignment="1">
      <alignment vertical="center"/>
    </xf>
    <xf numFmtId="0" fontId="20" fillId="13" borderId="13" xfId="0" applyFont="1" applyFill="1" applyBorder="1" applyAlignment="1">
      <alignment vertical="center"/>
    </xf>
    <xf numFmtId="0" fontId="121" fillId="21" borderId="34" xfId="0" applyFont="1" applyFill="1" applyBorder="1" applyAlignment="1">
      <alignment horizontal="center" vertical="center"/>
    </xf>
    <xf numFmtId="0" fontId="121" fillId="21" borderId="71" xfId="0" applyFont="1" applyFill="1" applyBorder="1" applyAlignment="1">
      <alignment horizontal="center" vertical="center"/>
    </xf>
    <xf numFmtId="0" fontId="121" fillId="21" borderId="72" xfId="0" applyFont="1" applyFill="1" applyBorder="1" applyAlignment="1">
      <alignment horizontal="center" vertical="center"/>
    </xf>
    <xf numFmtId="0" fontId="121" fillId="21" borderId="35" xfId="0" applyFont="1" applyFill="1" applyBorder="1" applyAlignment="1">
      <alignment horizontal="center" vertical="center"/>
    </xf>
    <xf numFmtId="0" fontId="120" fillId="21" borderId="55" xfId="0" applyFont="1" applyFill="1" applyBorder="1" applyAlignment="1">
      <alignment horizontal="center" vertical="center"/>
    </xf>
    <xf numFmtId="0" fontId="120" fillId="21" borderId="59" xfId="0" applyFont="1" applyFill="1" applyBorder="1" applyAlignment="1">
      <alignment horizontal="center" vertical="center"/>
    </xf>
    <xf numFmtId="170" fontId="38" fillId="0" borderId="45" xfId="0" applyNumberFormat="1" applyFont="1" applyBorder="1" applyAlignment="1">
      <alignment horizontal="center" vertical="center" wrapText="1"/>
    </xf>
    <xf numFmtId="170" fontId="38" fillId="0" borderId="43" xfId="0" applyNumberFormat="1" applyFont="1" applyBorder="1" applyAlignment="1">
      <alignment horizontal="center" vertical="center" wrapText="1"/>
    </xf>
    <xf numFmtId="170" fontId="38" fillId="0" borderId="114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0" fillId="0" borderId="154" xfId="0" applyBorder="1" applyAlignment="1">
      <alignment vertical="center"/>
    </xf>
    <xf numFmtId="0" fontId="0" fillId="0" borderId="157" xfId="0" applyBorder="1" applyAlignment="1">
      <alignment vertical="center"/>
    </xf>
    <xf numFmtId="0" fontId="0" fillId="0" borderId="166" xfId="0" applyBorder="1" applyAlignment="1">
      <alignment vertical="center"/>
    </xf>
    <xf numFmtId="0" fontId="0" fillId="0" borderId="155" xfId="0" applyBorder="1" applyAlignment="1">
      <alignment vertical="center"/>
    </xf>
    <xf numFmtId="0" fontId="0" fillId="0" borderId="160" xfId="0" applyBorder="1" applyAlignment="1">
      <alignment vertical="center"/>
    </xf>
    <xf numFmtId="0" fontId="0" fillId="0" borderId="161" xfId="0" applyBorder="1" applyAlignment="1">
      <alignment vertical="center"/>
    </xf>
    <xf numFmtId="0" fontId="0" fillId="0" borderId="162" xfId="0" applyBorder="1" applyAlignment="1">
      <alignment vertical="center"/>
    </xf>
    <xf numFmtId="0" fontId="0" fillId="0" borderId="163" xfId="0" applyBorder="1" applyAlignment="1">
      <alignment vertical="center"/>
    </xf>
    <xf numFmtId="0" fontId="0" fillId="0" borderId="164" xfId="0" applyBorder="1" applyAlignment="1">
      <alignment vertical="center"/>
    </xf>
    <xf numFmtId="0" fontId="30" fillId="18" borderId="36" xfId="0" applyFont="1" applyFill="1" applyBorder="1" applyAlignment="1">
      <alignment vertical="center" wrapText="1"/>
    </xf>
    <xf numFmtId="0" fontId="30" fillId="18" borderId="40" xfId="0" applyFont="1" applyFill="1" applyBorder="1" applyAlignment="1">
      <alignment vertical="center" wrapText="1"/>
    </xf>
    <xf numFmtId="0" fontId="0" fillId="0" borderId="169" xfId="0" applyBorder="1" applyAlignment="1">
      <alignment vertical="center"/>
    </xf>
    <xf numFmtId="0" fontId="0" fillId="0" borderId="171" xfId="0" applyBorder="1" applyAlignment="1">
      <alignment vertical="center"/>
    </xf>
    <xf numFmtId="0" fontId="124" fillId="0" borderId="167" xfId="0" applyFont="1" applyBorder="1" applyAlignment="1">
      <alignment horizontal="center" vertical="center"/>
    </xf>
    <xf numFmtId="0" fontId="125" fillId="4" borderId="172" xfId="0" applyFont="1" applyFill="1" applyBorder="1" applyAlignment="1">
      <alignment horizontal="centerContinuous" vertical="center"/>
    </xf>
    <xf numFmtId="0" fontId="125" fillId="4" borderId="173" xfId="0" applyFont="1" applyFill="1" applyBorder="1" applyAlignment="1">
      <alignment horizontal="centerContinuous" vertical="center"/>
    </xf>
    <xf numFmtId="0" fontId="125" fillId="4" borderId="174" xfId="0" applyFont="1" applyFill="1" applyBorder="1" applyAlignment="1">
      <alignment horizontal="centerContinuous" vertical="center"/>
    </xf>
    <xf numFmtId="0" fontId="124" fillId="0" borderId="177" xfId="0" applyFont="1" applyBorder="1" applyAlignment="1">
      <alignment horizontal="center" vertical="center"/>
    </xf>
    <xf numFmtId="0" fontId="124" fillId="0" borderId="178" xfId="0" applyFont="1" applyBorder="1" applyAlignment="1">
      <alignment horizontal="center" vertical="center"/>
    </xf>
    <xf numFmtId="0" fontId="0" fillId="0" borderId="179" xfId="0" applyBorder="1" applyAlignment="1">
      <alignment vertical="center"/>
    </xf>
    <xf numFmtId="0" fontId="0" fillId="0" borderId="180" xfId="0" applyBorder="1" applyAlignment="1">
      <alignment vertical="center"/>
    </xf>
    <xf numFmtId="0" fontId="0" fillId="0" borderId="181" xfId="0" applyBorder="1" applyAlignment="1">
      <alignment vertical="center"/>
    </xf>
    <xf numFmtId="0" fontId="0" fillId="0" borderId="182" xfId="0" applyBorder="1" applyAlignment="1">
      <alignment vertical="center"/>
    </xf>
    <xf numFmtId="0" fontId="0" fillId="0" borderId="183" xfId="0" applyBorder="1" applyAlignment="1">
      <alignment vertical="center"/>
    </xf>
    <xf numFmtId="0" fontId="0" fillId="0" borderId="184" xfId="0" applyBorder="1" applyAlignment="1">
      <alignment vertical="center"/>
    </xf>
    <xf numFmtId="0" fontId="0" fillId="0" borderId="185" xfId="0" applyBorder="1" applyAlignment="1">
      <alignment vertical="center"/>
    </xf>
    <xf numFmtId="0" fontId="0" fillId="0" borderId="186" xfId="0" applyBorder="1" applyAlignment="1">
      <alignment vertical="center"/>
    </xf>
    <xf numFmtId="0" fontId="0" fillId="0" borderId="187" xfId="0" applyBorder="1" applyAlignment="1">
      <alignment vertical="center"/>
    </xf>
    <xf numFmtId="0" fontId="0" fillId="0" borderId="188" xfId="0" applyBorder="1" applyAlignment="1">
      <alignment vertical="center"/>
    </xf>
    <xf numFmtId="0" fontId="0" fillId="0" borderId="189" xfId="0" applyBorder="1" applyAlignment="1">
      <alignment vertical="center"/>
    </xf>
    <xf numFmtId="0" fontId="0" fillId="0" borderId="190" xfId="0" applyBorder="1" applyAlignment="1">
      <alignment vertical="center"/>
    </xf>
    <xf numFmtId="0" fontId="123" fillId="0" borderId="170" xfId="0" applyFont="1" applyBorder="1" applyAlignment="1">
      <alignment vertical="center"/>
    </xf>
    <xf numFmtId="0" fontId="0" fillId="4" borderId="191" xfId="0" applyFill="1" applyBorder="1" applyAlignment="1">
      <alignment vertical="center"/>
    </xf>
    <xf numFmtId="0" fontId="0" fillId="4" borderId="192" xfId="0" applyFill="1" applyBorder="1" applyAlignment="1">
      <alignment vertical="center"/>
    </xf>
    <xf numFmtId="0" fontId="0" fillId="4" borderId="193" xfId="0" applyFill="1" applyBorder="1" applyAlignment="1">
      <alignment vertical="center"/>
    </xf>
    <xf numFmtId="0" fontId="0" fillId="4" borderId="194" xfId="0" applyFill="1" applyBorder="1" applyAlignment="1">
      <alignment vertical="center"/>
    </xf>
    <xf numFmtId="0" fontId="0" fillId="4" borderId="195" xfId="0" applyFill="1" applyBorder="1" applyAlignment="1">
      <alignment vertical="center"/>
    </xf>
    <xf numFmtId="0" fontId="0" fillId="4" borderId="196" xfId="0" applyFill="1" applyBorder="1" applyAlignment="1">
      <alignment vertical="center"/>
    </xf>
    <xf numFmtId="0" fontId="0" fillId="4" borderId="197" xfId="0" applyFill="1" applyBorder="1" applyAlignment="1">
      <alignment vertical="center"/>
    </xf>
    <xf numFmtId="0" fontId="0" fillId="4" borderId="198" xfId="0" applyFill="1" applyBorder="1" applyAlignment="1">
      <alignment vertical="center"/>
    </xf>
    <xf numFmtId="0" fontId="0" fillId="4" borderId="199" xfId="0" applyFill="1" applyBorder="1" applyAlignment="1">
      <alignment vertical="center"/>
    </xf>
    <xf numFmtId="0" fontId="0" fillId="4" borderId="200" xfId="0" applyFill="1" applyBorder="1" applyAlignment="1">
      <alignment vertical="center"/>
    </xf>
    <xf numFmtId="0" fontId="0" fillId="0" borderId="158" xfId="0" applyBorder="1" applyAlignment="1">
      <alignment vertical="center"/>
    </xf>
    <xf numFmtId="0" fontId="128" fillId="0" borderId="154" xfId="0" applyFont="1" applyBorder="1" applyAlignment="1">
      <alignment horizontal="center" vertical="center"/>
    </xf>
    <xf numFmtId="0" fontId="128" fillId="0" borderId="157" xfId="0" applyFont="1" applyBorder="1" applyAlignment="1">
      <alignment horizontal="center" vertical="center"/>
    </xf>
    <xf numFmtId="168" fontId="129" fillId="0" borderId="154" xfId="1" applyNumberFormat="1" applyFont="1" applyFill="1" applyBorder="1" applyAlignment="1">
      <alignment horizontal="center" vertical="center"/>
    </xf>
    <xf numFmtId="174" fontId="129" fillId="0" borderId="154" xfId="0" applyNumberFormat="1" applyFont="1" applyBorder="1" applyAlignment="1">
      <alignment horizontal="center" vertical="center"/>
    </xf>
    <xf numFmtId="0" fontId="129" fillId="0" borderId="154" xfId="0" applyFont="1" applyBorder="1" applyAlignment="1">
      <alignment horizontal="center" vertical="center"/>
    </xf>
    <xf numFmtId="168" fontId="129" fillId="0" borderId="204" xfId="1" applyNumberFormat="1" applyFont="1" applyFill="1" applyBorder="1" applyAlignment="1">
      <alignment horizontal="center" vertical="center"/>
    </xf>
    <xf numFmtId="174" fontId="129" fillId="0" borderId="204" xfId="0" applyNumberFormat="1" applyFont="1" applyBorder="1" applyAlignment="1">
      <alignment horizontal="center" vertical="center"/>
    </xf>
    <xf numFmtId="0" fontId="129" fillId="0" borderId="204" xfId="0" applyFont="1" applyBorder="1" applyAlignment="1">
      <alignment horizontal="center" vertical="center"/>
    </xf>
    <xf numFmtId="0" fontId="128" fillId="0" borderId="205" xfId="0" applyFont="1" applyBorder="1" applyAlignment="1">
      <alignment horizontal="center" vertical="center"/>
    </xf>
    <xf numFmtId="170" fontId="131" fillId="0" borderId="45" xfId="0" applyNumberFormat="1" applyFont="1" applyBorder="1" applyAlignment="1">
      <alignment horizontal="center" vertical="center" wrapText="1"/>
    </xf>
    <xf numFmtId="170" fontId="131" fillId="0" borderId="4" xfId="0" applyNumberFormat="1" applyFont="1" applyBorder="1" applyAlignment="1">
      <alignment horizontal="center" vertical="center" wrapText="1"/>
    </xf>
    <xf numFmtId="10" fontId="24" fillId="0" borderId="0" xfId="1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/>
    </xf>
    <xf numFmtId="168" fontId="12" fillId="0" borderId="0" xfId="1" applyNumberFormat="1" applyFont="1" applyAlignment="1">
      <alignment vertical="center"/>
    </xf>
    <xf numFmtId="0" fontId="8" fillId="0" borderId="0" xfId="0" applyFont="1" applyAlignment="1">
      <alignment vertical="center"/>
    </xf>
    <xf numFmtId="2" fontId="12" fillId="0" borderId="0" xfId="0" applyNumberFormat="1" applyFont="1" applyAlignment="1">
      <alignment vertical="center"/>
    </xf>
    <xf numFmtId="9" fontId="12" fillId="0" borderId="0" xfId="0" applyNumberFormat="1" applyFont="1" applyAlignment="1">
      <alignment vertical="center"/>
    </xf>
    <xf numFmtId="10" fontId="12" fillId="0" borderId="0" xfId="0" applyNumberFormat="1" applyFont="1" applyAlignment="1">
      <alignment vertical="center"/>
    </xf>
    <xf numFmtId="0" fontId="41" fillId="3" borderId="3" xfId="0" applyFont="1" applyFill="1" applyBorder="1" applyAlignment="1">
      <alignment horizontal="centerContinuous" vertical="center"/>
    </xf>
    <xf numFmtId="165" fontId="15" fillId="0" borderId="48" xfId="0" applyNumberFormat="1" applyFont="1" applyBorder="1" applyAlignment="1">
      <alignment vertical="center"/>
    </xf>
    <xf numFmtId="165" fontId="15" fillId="0" borderId="0" xfId="0" applyNumberFormat="1" applyFont="1" applyAlignment="1">
      <alignment vertical="center"/>
    </xf>
    <xf numFmtId="165" fontId="15" fillId="0" borderId="2" xfId="0" applyNumberFormat="1" applyFont="1" applyBorder="1" applyAlignment="1">
      <alignment vertical="center"/>
    </xf>
    <xf numFmtId="0" fontId="15" fillId="0" borderId="48" xfId="0" applyFont="1" applyBorder="1" applyAlignment="1">
      <alignment vertical="center"/>
    </xf>
    <xf numFmtId="0" fontId="15" fillId="0" borderId="23" xfId="0" applyFont="1" applyBorder="1" applyAlignment="1">
      <alignment vertical="center"/>
    </xf>
    <xf numFmtId="0" fontId="58" fillId="7" borderId="4" xfId="0" applyFont="1" applyFill="1" applyBorder="1" applyAlignment="1">
      <alignment horizontal="center" vertical="center"/>
    </xf>
    <xf numFmtId="0" fontId="15" fillId="13" borderId="10" xfId="0" applyFont="1" applyFill="1" applyBorder="1" applyAlignment="1">
      <alignment vertical="center"/>
    </xf>
    <xf numFmtId="0" fontId="15" fillId="13" borderId="13" xfId="0" applyFont="1" applyFill="1" applyBorder="1" applyAlignment="1">
      <alignment vertical="center"/>
    </xf>
    <xf numFmtId="0" fontId="15" fillId="13" borderId="17" xfId="0" quotePrefix="1" applyFont="1" applyFill="1" applyBorder="1" applyAlignment="1">
      <alignment vertical="center"/>
    </xf>
    <xf numFmtId="0" fontId="58" fillId="6" borderId="5" xfId="0" applyFont="1" applyFill="1" applyBorder="1" applyAlignment="1">
      <alignment horizontal="center" vertical="center"/>
    </xf>
    <xf numFmtId="0" fontId="15" fillId="12" borderId="11" xfId="0" applyFont="1" applyFill="1" applyBorder="1" applyAlignment="1">
      <alignment horizontal="left" vertical="center"/>
    </xf>
    <xf numFmtId="0" fontId="15" fillId="12" borderId="16" xfId="0" applyFont="1" applyFill="1" applyBorder="1" applyAlignment="1">
      <alignment horizontal="left" vertical="center"/>
    </xf>
    <xf numFmtId="0" fontId="15" fillId="12" borderId="19" xfId="0" applyFont="1" applyFill="1" applyBorder="1" applyAlignment="1">
      <alignment horizontal="left" vertical="center"/>
    </xf>
    <xf numFmtId="0" fontId="15" fillId="11" borderId="12" xfId="0" quotePrefix="1" applyFont="1" applyFill="1" applyBorder="1" applyAlignment="1">
      <alignment vertical="center"/>
    </xf>
    <xf numFmtId="0" fontId="15" fillId="11" borderId="15" xfId="0" quotePrefix="1" applyFont="1" applyFill="1" applyBorder="1" applyAlignment="1">
      <alignment vertical="center"/>
    </xf>
    <xf numFmtId="0" fontId="15" fillId="11" borderId="15" xfId="0" applyFont="1" applyFill="1" applyBorder="1" applyAlignment="1">
      <alignment vertical="center"/>
    </xf>
    <xf numFmtId="0" fontId="15" fillId="11" borderId="18" xfId="0" quotePrefix="1" applyFont="1" applyFill="1" applyBorder="1" applyAlignment="1">
      <alignment vertical="center"/>
    </xf>
    <xf numFmtId="170" fontId="131" fillId="0" borderId="43" xfId="0" applyNumberFormat="1" applyFont="1" applyBorder="1" applyAlignment="1">
      <alignment horizontal="center" vertical="center" wrapText="1"/>
    </xf>
    <xf numFmtId="0" fontId="133" fillId="0" borderId="154" xfId="0" applyFont="1" applyBorder="1" applyAlignment="1">
      <alignment vertical="center"/>
    </xf>
    <xf numFmtId="0" fontId="133" fillId="0" borderId="157" xfId="0" applyFont="1" applyBorder="1" applyAlignment="1">
      <alignment vertical="center"/>
    </xf>
    <xf numFmtId="0" fontId="133" fillId="0" borderId="0" xfId="0" applyFont="1" applyAlignment="1">
      <alignment vertical="center"/>
    </xf>
    <xf numFmtId="0" fontId="133" fillId="0" borderId="156" xfId="0" applyFont="1" applyBorder="1" applyAlignment="1">
      <alignment vertical="center"/>
    </xf>
    <xf numFmtId="0" fontId="133" fillId="0" borderId="206" xfId="0" applyFont="1" applyBorder="1" applyAlignment="1">
      <alignment vertical="center"/>
    </xf>
    <xf numFmtId="0" fontId="133" fillId="0" borderId="207" xfId="0" applyFont="1" applyBorder="1" applyAlignment="1">
      <alignment vertical="center"/>
    </xf>
    <xf numFmtId="0" fontId="133" fillId="0" borderId="209" xfId="0" applyFont="1" applyBorder="1" applyAlignment="1">
      <alignment vertical="center"/>
    </xf>
    <xf numFmtId="0" fontId="133" fillId="0" borderId="210" xfId="0" applyFont="1" applyBorder="1" applyAlignment="1">
      <alignment vertical="center"/>
    </xf>
    <xf numFmtId="0" fontId="133" fillId="0" borderId="211" xfId="0" applyFont="1" applyBorder="1" applyAlignment="1">
      <alignment vertical="center"/>
    </xf>
    <xf numFmtId="0" fontId="133" fillId="0" borderId="158" xfId="0" applyFont="1" applyBorder="1" applyAlignment="1">
      <alignment horizontal="center" vertical="center"/>
    </xf>
    <xf numFmtId="0" fontId="135" fillId="4" borderId="212" xfId="0" applyFont="1" applyFill="1" applyBorder="1" applyAlignment="1">
      <alignment horizontal="center" vertical="center"/>
    </xf>
    <xf numFmtId="0" fontId="133" fillId="4" borderId="213" xfId="0" applyFont="1" applyFill="1" applyBorder="1" applyAlignment="1">
      <alignment horizontal="center" vertical="center" wrapText="1"/>
    </xf>
    <xf numFmtId="0" fontId="133" fillId="4" borderId="214" xfId="0" applyFont="1" applyFill="1" applyBorder="1" applyAlignment="1">
      <alignment horizontal="center" vertical="center"/>
    </xf>
    <xf numFmtId="0" fontId="133" fillId="0" borderId="159" xfId="0" applyFont="1" applyBorder="1" applyAlignment="1">
      <alignment vertical="center"/>
    </xf>
    <xf numFmtId="0" fontId="134" fillId="3" borderId="215" xfId="0" applyFont="1" applyFill="1" applyBorder="1" applyAlignment="1">
      <alignment horizontal="centerContinuous" vertical="center" wrapText="1"/>
    </xf>
    <xf numFmtId="0" fontId="135" fillId="3" borderId="216" xfId="0" applyFont="1" applyFill="1" applyBorder="1" applyAlignment="1">
      <alignment horizontal="centerContinuous" vertical="center" wrapText="1"/>
    </xf>
    <xf numFmtId="0" fontId="133" fillId="0" borderId="169" xfId="0" applyFont="1" applyBorder="1" applyAlignment="1">
      <alignment vertical="center"/>
    </xf>
    <xf numFmtId="0" fontId="133" fillId="0" borderId="218" xfId="0" applyFont="1" applyBorder="1" applyAlignment="1">
      <alignment vertical="center"/>
    </xf>
    <xf numFmtId="0" fontId="133" fillId="0" borderId="219" xfId="0" applyFont="1" applyBorder="1" applyAlignment="1">
      <alignment vertical="center"/>
    </xf>
    <xf numFmtId="0" fontId="133" fillId="0" borderId="220" xfId="0" applyFont="1" applyBorder="1" applyAlignment="1">
      <alignment vertical="center"/>
    </xf>
    <xf numFmtId="0" fontId="0" fillId="0" borderId="221" xfId="0" applyBorder="1" applyAlignment="1">
      <alignment vertical="center"/>
    </xf>
    <xf numFmtId="0" fontId="0" fillId="0" borderId="170" xfId="0" applyBorder="1" applyAlignment="1">
      <alignment vertical="center"/>
    </xf>
    <xf numFmtId="0" fontId="0" fillId="0" borderId="222" xfId="0" applyBorder="1" applyAlignment="1">
      <alignment vertical="center"/>
    </xf>
    <xf numFmtId="0" fontId="0" fillId="0" borderId="223" xfId="0" applyBorder="1" applyAlignment="1">
      <alignment vertical="center"/>
    </xf>
    <xf numFmtId="0" fontId="0" fillId="4" borderId="224" xfId="0" applyFill="1" applyBorder="1" applyAlignment="1">
      <alignment vertical="center"/>
    </xf>
    <xf numFmtId="0" fontId="0" fillId="4" borderId="225" xfId="0" applyFill="1" applyBorder="1" applyAlignment="1">
      <alignment vertical="center"/>
    </xf>
    <xf numFmtId="0" fontId="0" fillId="0" borderId="226" xfId="0" applyBorder="1" applyAlignment="1">
      <alignment vertical="center"/>
    </xf>
    <xf numFmtId="0" fontId="0" fillId="0" borderId="227" xfId="0" applyBorder="1" applyAlignment="1">
      <alignment vertical="center"/>
    </xf>
    <xf numFmtId="0" fontId="0" fillId="0" borderId="228" xfId="0" applyBorder="1" applyAlignment="1">
      <alignment vertical="center"/>
    </xf>
    <xf numFmtId="0" fontId="0" fillId="4" borderId="229" xfId="0" applyFill="1" applyBorder="1" applyAlignment="1">
      <alignment vertical="center"/>
    </xf>
    <xf numFmtId="0" fontId="0" fillId="4" borderId="230" xfId="0" applyFill="1" applyBorder="1" applyAlignment="1">
      <alignment vertical="center"/>
    </xf>
    <xf numFmtId="0" fontId="0" fillId="4" borderId="231" xfId="0" applyFill="1" applyBorder="1" applyAlignment="1">
      <alignment vertical="center"/>
    </xf>
    <xf numFmtId="0" fontId="141" fillId="0" borderId="243" xfId="0" applyFont="1" applyBorder="1" applyAlignment="1">
      <alignment vertical="center"/>
    </xf>
    <xf numFmtId="0" fontId="141" fillId="0" borderId="244" xfId="0" applyFont="1" applyBorder="1" applyAlignment="1">
      <alignment vertical="center"/>
    </xf>
    <xf numFmtId="0" fontId="143" fillId="4" borderId="247" xfId="0" applyFont="1" applyFill="1" applyBorder="1" applyAlignment="1">
      <alignment vertical="center"/>
    </xf>
    <xf numFmtId="0" fontId="143" fillId="4" borderId="248" xfId="0" applyFont="1" applyFill="1" applyBorder="1" applyAlignment="1">
      <alignment vertical="center"/>
    </xf>
    <xf numFmtId="0" fontId="141" fillId="0" borderId="250" xfId="0" applyFont="1" applyBorder="1" applyAlignment="1">
      <alignment vertical="center"/>
    </xf>
    <xf numFmtId="0" fontId="0" fillId="0" borderId="208" xfId="0" applyBorder="1" applyAlignment="1">
      <alignment vertical="center"/>
    </xf>
    <xf numFmtId="0" fontId="149" fillId="4" borderId="259" xfId="0" applyFont="1" applyFill="1" applyBorder="1" applyAlignment="1">
      <alignment horizontal="centerContinuous" vertical="center"/>
    </xf>
    <xf numFmtId="0" fontId="151" fillId="4" borderId="260" xfId="0" quotePrefix="1" applyFont="1" applyFill="1" applyBorder="1" applyAlignment="1">
      <alignment horizontal="centerContinuous" vertical="center"/>
    </xf>
    <xf numFmtId="0" fontId="31" fillId="7" borderId="4" xfId="0" applyFont="1" applyFill="1" applyBorder="1" applyAlignment="1">
      <alignment horizontal="center" vertical="center"/>
    </xf>
    <xf numFmtId="0" fontId="31" fillId="7" borderId="5" xfId="0" applyFont="1" applyFill="1" applyBorder="1" applyAlignment="1">
      <alignment horizontal="center" vertical="center"/>
    </xf>
    <xf numFmtId="0" fontId="31" fillId="7" borderId="6" xfId="0" applyFont="1" applyFill="1" applyBorder="1" applyAlignment="1">
      <alignment horizontal="center" vertical="center"/>
    </xf>
    <xf numFmtId="0" fontId="26" fillId="0" borderId="0" xfId="0" applyFont="1" applyAlignment="1">
      <alignment vertical="center"/>
    </xf>
    <xf numFmtId="170" fontId="7" fillId="0" borderId="0" xfId="0" applyNumberFormat="1" applyFont="1" applyAlignment="1">
      <alignment vertical="center"/>
    </xf>
    <xf numFmtId="175" fontId="11" fillId="0" borderId="97" xfId="0" applyNumberFormat="1" applyFont="1" applyBorder="1" applyAlignment="1">
      <alignment vertical="center"/>
    </xf>
    <xf numFmtId="175" fontId="11" fillId="0" borderId="61" xfId="0" applyNumberFormat="1" applyFont="1" applyBorder="1" applyAlignment="1">
      <alignment vertical="center"/>
    </xf>
    <xf numFmtId="175" fontId="11" fillId="0" borderId="6" xfId="0" applyNumberFormat="1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23" fillId="0" borderId="3" xfId="0" applyFont="1" applyBorder="1" applyAlignment="1">
      <alignment vertical="center"/>
    </xf>
    <xf numFmtId="175" fontId="23" fillId="0" borderId="42" xfId="0" applyNumberFormat="1" applyFont="1" applyBorder="1" applyAlignment="1">
      <alignment vertical="center"/>
    </xf>
    <xf numFmtId="175" fontId="23" fillId="0" borderId="41" xfId="0" applyNumberFormat="1" applyFont="1" applyBorder="1" applyAlignment="1">
      <alignment vertical="center"/>
    </xf>
    <xf numFmtId="175" fontId="23" fillId="0" borderId="51" xfId="0" applyNumberFormat="1" applyFont="1" applyBorder="1" applyAlignment="1">
      <alignment vertical="center"/>
    </xf>
    <xf numFmtId="175" fontId="25" fillId="14" borderId="77" xfId="0" applyNumberFormat="1" applyFont="1" applyFill="1" applyBorder="1" applyAlignment="1">
      <alignment vertical="center"/>
    </xf>
    <xf numFmtId="175" fontId="23" fillId="0" borderId="60" xfId="0" applyNumberFormat="1" applyFont="1" applyBorder="1" applyAlignment="1">
      <alignment vertical="center"/>
    </xf>
    <xf numFmtId="175" fontId="23" fillId="0" borderId="62" xfId="0" applyNumberFormat="1" applyFont="1" applyBorder="1" applyAlignment="1">
      <alignment vertical="center"/>
    </xf>
    <xf numFmtId="175" fontId="23" fillId="0" borderId="66" xfId="0" applyNumberFormat="1" applyFont="1" applyBorder="1" applyAlignment="1">
      <alignment vertical="center"/>
    </xf>
    <xf numFmtId="175" fontId="25" fillId="14" borderId="71" xfId="0" applyNumberFormat="1" applyFont="1" applyFill="1" applyBorder="1" applyAlignment="1">
      <alignment vertical="center"/>
    </xf>
    <xf numFmtId="175" fontId="23" fillId="0" borderId="69" xfId="0" applyNumberFormat="1" applyFont="1" applyBorder="1" applyAlignment="1">
      <alignment vertical="center"/>
    </xf>
    <xf numFmtId="175" fontId="23" fillId="0" borderId="67" xfId="0" applyNumberFormat="1" applyFont="1" applyBorder="1" applyAlignment="1">
      <alignment vertical="center"/>
    </xf>
    <xf numFmtId="175" fontId="23" fillId="0" borderId="68" xfId="0" applyNumberFormat="1" applyFont="1" applyBorder="1" applyAlignment="1">
      <alignment vertical="center"/>
    </xf>
    <xf numFmtId="175" fontId="25" fillId="14" borderId="72" xfId="0" applyNumberFormat="1" applyFont="1" applyFill="1" applyBorder="1" applyAlignment="1">
      <alignment vertical="center"/>
    </xf>
    <xf numFmtId="175" fontId="23" fillId="0" borderId="43" xfId="0" applyNumberFormat="1" applyFont="1" applyBorder="1" applyAlignment="1">
      <alignment vertical="center"/>
    </xf>
    <xf numFmtId="175" fontId="23" fillId="0" borderId="44" xfId="0" applyNumberFormat="1" applyFont="1" applyBorder="1" applyAlignment="1">
      <alignment vertical="center"/>
    </xf>
    <xf numFmtId="175" fontId="23" fillId="0" borderId="39" xfId="0" applyNumberFormat="1" applyFont="1" applyBorder="1" applyAlignment="1">
      <alignment vertical="center"/>
    </xf>
    <xf numFmtId="175" fontId="25" fillId="14" borderId="35" xfId="0" applyNumberFormat="1" applyFont="1" applyFill="1" applyBorder="1" applyAlignment="1">
      <alignment vertical="center"/>
    </xf>
    <xf numFmtId="175" fontId="46" fillId="0" borderId="0" xfId="0" applyNumberFormat="1" applyFont="1" applyAlignment="1">
      <alignment vertical="center"/>
    </xf>
    <xf numFmtId="175" fontId="23" fillId="0" borderId="52" xfId="0" applyNumberFormat="1" applyFont="1" applyBorder="1" applyAlignment="1">
      <alignment vertical="center"/>
    </xf>
    <xf numFmtId="175" fontId="23" fillId="0" borderId="53" xfId="0" applyNumberFormat="1" applyFont="1" applyBorder="1" applyAlignment="1">
      <alignment vertical="center"/>
    </xf>
    <xf numFmtId="175" fontId="23" fillId="0" borderId="54" xfId="0" applyNumberFormat="1" applyFont="1" applyBorder="1" applyAlignment="1">
      <alignment vertical="center"/>
    </xf>
    <xf numFmtId="175" fontId="25" fillId="14" borderId="55" xfId="0" applyNumberFormat="1" applyFont="1" applyFill="1" applyBorder="1" applyAlignment="1">
      <alignment vertical="center"/>
    </xf>
    <xf numFmtId="175" fontId="23" fillId="0" borderId="56" xfId="0" applyNumberFormat="1" applyFont="1" applyBorder="1" applyAlignment="1">
      <alignment vertical="center"/>
    </xf>
    <xf numFmtId="175" fontId="23" fillId="0" borderId="57" xfId="0" applyNumberFormat="1" applyFont="1" applyBorder="1" applyAlignment="1">
      <alignment vertical="center"/>
    </xf>
    <xf numFmtId="175" fontId="23" fillId="0" borderId="58" xfId="0" applyNumberFormat="1" applyFont="1" applyBorder="1" applyAlignment="1">
      <alignment vertical="center"/>
    </xf>
    <xf numFmtId="175" fontId="25" fillId="14" borderId="59" xfId="0" applyNumberFormat="1" applyFont="1" applyFill="1" applyBorder="1" applyAlignment="1">
      <alignment vertical="center"/>
    </xf>
    <xf numFmtId="0" fontId="0" fillId="0" borderId="0" xfId="0" applyAlignment="1">
      <alignment horizontal="right"/>
    </xf>
    <xf numFmtId="0" fontId="7" fillId="0" borderId="111" xfId="0" applyFont="1" applyBorder="1" applyAlignment="1">
      <alignment horizontal="left" vertical="center"/>
    </xf>
    <xf numFmtId="0" fontId="7" fillId="0" borderId="110" xfId="0" applyFont="1" applyBorder="1" applyAlignment="1">
      <alignment horizontal="left" vertical="center"/>
    </xf>
    <xf numFmtId="175" fontId="12" fillId="0" borderId="0" xfId="0" applyNumberFormat="1" applyFont="1" applyAlignment="1">
      <alignment vertical="center"/>
    </xf>
    <xf numFmtId="175" fontId="7" fillId="0" borderId="0" xfId="0" applyNumberFormat="1" applyFont="1" applyAlignment="1">
      <alignment vertical="center"/>
    </xf>
    <xf numFmtId="10" fontId="11" fillId="0" borderId="113" xfId="0" applyNumberFormat="1" applyFont="1" applyBorder="1" applyAlignment="1">
      <alignment horizontal="center" vertical="center"/>
    </xf>
    <xf numFmtId="10" fontId="11" fillId="0" borderId="97" xfId="0" applyNumberFormat="1" applyFont="1" applyBorder="1" applyAlignment="1">
      <alignment horizontal="center" vertical="center"/>
    </xf>
    <xf numFmtId="10" fontId="11" fillId="0" borderId="6" xfId="0" applyNumberFormat="1" applyFont="1" applyBorder="1" applyAlignment="1">
      <alignment horizontal="center" vertical="center"/>
    </xf>
    <xf numFmtId="0" fontId="15" fillId="13" borderId="79" xfId="0" applyFont="1" applyFill="1" applyBorder="1" applyAlignment="1">
      <alignment horizontal="left" vertical="center"/>
    </xf>
    <xf numFmtId="0" fontId="15" fillId="12" borderId="80" xfId="0" applyFont="1" applyFill="1" applyBorder="1" applyAlignment="1">
      <alignment horizontal="left" vertical="center"/>
    </xf>
    <xf numFmtId="0" fontId="15" fillId="11" borderId="86" xfId="0" applyFont="1" applyFill="1" applyBorder="1" applyAlignment="1">
      <alignment horizontal="left" vertical="center"/>
    </xf>
    <xf numFmtId="0" fontId="15" fillId="13" borderId="81" xfId="0" applyFont="1" applyFill="1" applyBorder="1" applyAlignment="1">
      <alignment vertical="center"/>
    </xf>
    <xf numFmtId="0" fontId="15" fillId="12" borderId="82" xfId="0" applyFont="1" applyFill="1" applyBorder="1" applyAlignment="1">
      <alignment horizontal="left" vertical="center"/>
    </xf>
    <xf numFmtId="0" fontId="15" fillId="11" borderId="87" xfId="0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10" fontId="6" fillId="0" borderId="0" xfId="0" applyNumberFormat="1" applyFont="1" applyAlignment="1">
      <alignment vertical="center"/>
    </xf>
    <xf numFmtId="0" fontId="6" fillId="0" borderId="2" xfId="0" applyFont="1" applyBorder="1" applyAlignment="1">
      <alignment vertical="center"/>
    </xf>
    <xf numFmtId="168" fontId="6" fillId="0" borderId="2" xfId="1" applyNumberFormat="1" applyFont="1" applyBorder="1" applyAlignment="1">
      <alignment horizontal="center" vertical="center"/>
    </xf>
    <xf numFmtId="168" fontId="6" fillId="0" borderId="2" xfId="0" applyNumberFormat="1" applyFont="1" applyBorder="1" applyAlignment="1">
      <alignment horizontal="center" vertical="center"/>
    </xf>
    <xf numFmtId="0" fontId="6" fillId="0" borderId="48" xfId="0" applyFont="1" applyBorder="1" applyAlignment="1">
      <alignment vertical="center"/>
    </xf>
    <xf numFmtId="168" fontId="6" fillId="0" borderId="48" xfId="0" applyNumberFormat="1" applyFont="1" applyBorder="1" applyAlignment="1">
      <alignment horizontal="center" vertical="center"/>
    </xf>
    <xf numFmtId="168" fontId="6" fillId="0" borderId="48" xfId="1" applyNumberFormat="1" applyFont="1" applyBorder="1" applyAlignment="1">
      <alignment horizontal="center" vertical="center"/>
    </xf>
    <xf numFmtId="0" fontId="6" fillId="0" borderId="271" xfId="0" applyFont="1" applyBorder="1" applyAlignment="1">
      <alignment vertical="center"/>
    </xf>
    <xf numFmtId="168" fontId="6" fillId="0" borderId="271" xfId="0" applyNumberFormat="1" applyFont="1" applyBorder="1" applyAlignment="1">
      <alignment horizontal="center" vertical="center"/>
    </xf>
    <xf numFmtId="0" fontId="113" fillId="22" borderId="271" xfId="0" applyFont="1" applyFill="1" applyBorder="1" applyAlignment="1">
      <alignment horizontal="center" vertical="center"/>
    </xf>
    <xf numFmtId="170" fontId="14" fillId="0" borderId="2" xfId="0" applyNumberFormat="1" applyFont="1" applyBorder="1" applyAlignment="1">
      <alignment vertical="center"/>
    </xf>
    <xf numFmtId="0" fontId="155" fillId="0" borderId="271" xfId="0" applyFont="1" applyBorder="1" applyAlignment="1">
      <alignment horizontal="center" vertical="center"/>
    </xf>
    <xf numFmtId="0" fontId="49" fillId="0" borderId="2" xfId="0" applyFont="1" applyBorder="1" applyAlignment="1">
      <alignment vertical="center"/>
    </xf>
    <xf numFmtId="168" fontId="16" fillId="0" borderId="2" xfId="1" applyNumberFormat="1" applyFont="1" applyBorder="1" applyAlignment="1">
      <alignment horizontal="center" vertical="center"/>
    </xf>
    <xf numFmtId="170" fontId="39" fillId="0" borderId="0" xfId="0" applyNumberFormat="1" applyFont="1" applyAlignment="1">
      <alignment horizontal="left" vertical="center" indent="2"/>
    </xf>
    <xf numFmtId="175" fontId="11" fillId="0" borderId="0" xfId="0" applyNumberFormat="1" applyFont="1" applyAlignment="1">
      <alignment vertical="center"/>
    </xf>
    <xf numFmtId="170" fontId="38" fillId="0" borderId="0" xfId="0" applyNumberFormat="1" applyFont="1" applyAlignment="1">
      <alignment horizontal="left" vertical="center" indent="1"/>
    </xf>
    <xf numFmtId="168" fontId="11" fillId="0" borderId="0" xfId="0" applyNumberFormat="1" applyFont="1" applyAlignment="1">
      <alignment horizontal="center" vertical="center"/>
    </xf>
    <xf numFmtId="0" fontId="23" fillId="0" borderId="0" xfId="0" applyFont="1" applyAlignment="1">
      <alignment vertical="center" wrapText="1"/>
    </xf>
    <xf numFmtId="0" fontId="23" fillId="0" borderId="2" xfId="0" applyFont="1" applyBorder="1" applyAlignment="1">
      <alignment vertical="center" wrapText="1"/>
    </xf>
    <xf numFmtId="0" fontId="25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170" fontId="16" fillId="0" borderId="2" xfId="0" applyNumberFormat="1" applyFont="1" applyBorder="1" applyAlignment="1">
      <alignment vertical="center"/>
    </xf>
    <xf numFmtId="170" fontId="23" fillId="0" borderId="2" xfId="0" applyNumberFormat="1" applyFont="1" applyBorder="1" applyAlignment="1">
      <alignment vertical="center"/>
    </xf>
    <xf numFmtId="170" fontId="23" fillId="4" borderId="2" xfId="0" applyNumberFormat="1" applyFont="1" applyFill="1" applyBorder="1" applyAlignment="1">
      <alignment vertical="center"/>
    </xf>
    <xf numFmtId="170" fontId="25" fillId="0" borderId="2" xfId="0" applyNumberFormat="1" applyFont="1" applyBorder="1" applyAlignment="1">
      <alignment vertical="center"/>
    </xf>
    <xf numFmtId="0" fontId="51" fillId="0" borderId="2" xfId="0" applyFont="1" applyBorder="1" applyAlignment="1">
      <alignment vertical="center"/>
    </xf>
    <xf numFmtId="168" fontId="51" fillId="0" borderId="2" xfId="0" applyNumberFormat="1" applyFont="1" applyBorder="1" applyAlignment="1">
      <alignment horizontal="center" vertical="center"/>
    </xf>
    <xf numFmtId="168" fontId="51" fillId="0" borderId="2" xfId="1" applyNumberFormat="1" applyFont="1" applyBorder="1" applyAlignment="1">
      <alignment horizontal="center" vertical="center"/>
    </xf>
    <xf numFmtId="0" fontId="51" fillId="0" borderId="2" xfId="0" applyFont="1" applyBorder="1" applyAlignment="1">
      <alignment vertical="center" wrapText="1"/>
    </xf>
    <xf numFmtId="0" fontId="157" fillId="0" borderId="2" xfId="0" applyFont="1" applyBorder="1" applyAlignment="1">
      <alignment vertical="center"/>
    </xf>
    <xf numFmtId="0" fontId="157" fillId="0" borderId="2" xfId="0" applyFont="1" applyBorder="1" applyAlignment="1">
      <alignment vertical="center" wrapText="1"/>
    </xf>
    <xf numFmtId="0" fontId="159" fillId="0" borderId="0" xfId="0" applyFont="1"/>
    <xf numFmtId="170" fontId="51" fillId="0" borderId="0" xfId="0" applyNumberFormat="1" applyFont="1" applyAlignment="1">
      <alignment vertical="center"/>
    </xf>
    <xf numFmtId="0" fontId="5" fillId="0" borderId="108" xfId="0" applyFont="1" applyBorder="1" applyAlignment="1">
      <alignment horizontal="left" vertical="center"/>
    </xf>
    <xf numFmtId="10" fontId="46" fillId="0" borderId="27" xfId="0" applyNumberFormat="1" applyFont="1" applyBorder="1" applyAlignment="1">
      <alignment vertical="center"/>
    </xf>
    <xf numFmtId="10" fontId="11" fillId="0" borderId="148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71" fillId="3" borderId="3" xfId="0" applyFont="1" applyFill="1" applyBorder="1" applyAlignment="1">
      <alignment horizontal="left" vertical="center" wrapText="1"/>
    </xf>
    <xf numFmtId="0" fontId="16" fillId="0" borderId="2" xfId="0" applyFont="1" applyBorder="1" applyAlignment="1">
      <alignment vertical="center" wrapText="1"/>
    </xf>
    <xf numFmtId="0" fontId="68" fillId="0" borderId="2" xfId="0" applyFont="1" applyBorder="1" applyAlignment="1">
      <alignment vertical="center"/>
    </xf>
    <xf numFmtId="170" fontId="51" fillId="0" borderId="2" xfId="0" applyNumberFormat="1" applyFont="1" applyBorder="1" applyAlignment="1">
      <alignment vertical="center"/>
    </xf>
    <xf numFmtId="0" fontId="16" fillId="0" borderId="272" xfId="0" applyFont="1" applyBorder="1" applyAlignment="1">
      <alignment vertical="center" wrapText="1"/>
    </xf>
    <xf numFmtId="9" fontId="16" fillId="0" borderId="2" xfId="0" applyNumberFormat="1" applyFont="1" applyBorder="1" applyAlignment="1">
      <alignment horizontal="center" vertical="center"/>
    </xf>
    <xf numFmtId="10" fontId="16" fillId="0" borderId="2" xfId="0" applyNumberFormat="1" applyFont="1" applyBorder="1" applyAlignment="1">
      <alignment horizontal="center" vertical="center"/>
    </xf>
    <xf numFmtId="175" fontId="25" fillId="0" borderId="2" xfId="0" applyNumberFormat="1" applyFont="1" applyBorder="1" applyAlignment="1">
      <alignment vertical="center"/>
    </xf>
    <xf numFmtId="170" fontId="25" fillId="0" borderId="0" xfId="0" applyNumberFormat="1" applyFont="1" applyAlignment="1">
      <alignment vertical="center"/>
    </xf>
    <xf numFmtId="175" fontId="16" fillId="0" borderId="2" xfId="0" applyNumberFormat="1" applyFont="1" applyBorder="1" applyAlignment="1">
      <alignment vertical="center"/>
    </xf>
    <xf numFmtId="175" fontId="51" fillId="0" borderId="2" xfId="0" applyNumberFormat="1" applyFont="1" applyBorder="1" applyAlignment="1">
      <alignment vertical="center"/>
    </xf>
    <xf numFmtId="175" fontId="23" fillId="0" borderId="2" xfId="0" applyNumberFormat="1" applyFont="1" applyBorder="1" applyAlignment="1">
      <alignment vertical="center"/>
    </xf>
    <xf numFmtId="175" fontId="16" fillId="0" borderId="272" xfId="0" applyNumberFormat="1" applyFont="1" applyBorder="1" applyAlignment="1">
      <alignment vertical="center"/>
    </xf>
    <xf numFmtId="168" fontId="6" fillId="0" borderId="0" xfId="0" applyNumberFormat="1" applyFont="1" applyAlignment="1">
      <alignment horizontal="center" vertical="center"/>
    </xf>
    <xf numFmtId="168" fontId="16" fillId="0" borderId="0" xfId="1" applyNumberFormat="1" applyFont="1" applyBorder="1" applyAlignment="1">
      <alignment horizontal="center" vertical="center"/>
    </xf>
    <xf numFmtId="0" fontId="157" fillId="0" borderId="48" xfId="0" applyFont="1" applyBorder="1" applyAlignment="1">
      <alignment vertical="center" wrapText="1"/>
    </xf>
    <xf numFmtId="0" fontId="169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172" fillId="3" borderId="217" xfId="0" applyFont="1" applyFill="1" applyBorder="1" applyAlignment="1">
      <alignment horizontal="centerContinuous" vertical="center" wrapText="1"/>
    </xf>
    <xf numFmtId="175" fontId="25" fillId="14" borderId="2" xfId="0" applyNumberFormat="1" applyFont="1" applyFill="1" applyBorder="1" applyAlignment="1">
      <alignment vertical="center"/>
    </xf>
    <xf numFmtId="0" fontId="11" fillId="0" borderId="302" xfId="0" applyFont="1" applyBorder="1" applyAlignment="1">
      <alignment vertical="center"/>
    </xf>
    <xf numFmtId="170" fontId="16" fillId="0" borderId="167" xfId="0" applyNumberFormat="1" applyFont="1" applyBorder="1" applyAlignment="1">
      <alignment vertical="center"/>
    </xf>
    <xf numFmtId="170" fontId="23" fillId="0" borderId="167" xfId="0" applyNumberFormat="1" applyFont="1" applyBorder="1" applyAlignment="1">
      <alignment vertical="center"/>
    </xf>
    <xf numFmtId="170" fontId="23" fillId="4" borderId="167" xfId="0" applyNumberFormat="1" applyFont="1" applyFill="1" applyBorder="1" applyAlignment="1">
      <alignment vertical="center"/>
    </xf>
    <xf numFmtId="170" fontId="51" fillId="0" borderId="167" xfId="0" applyNumberFormat="1" applyFont="1" applyBorder="1" applyAlignment="1">
      <alignment vertical="center"/>
    </xf>
    <xf numFmtId="0" fontId="12" fillId="0" borderId="303" xfId="0" applyFont="1" applyBorder="1" applyAlignment="1">
      <alignment vertical="center"/>
    </xf>
    <xf numFmtId="0" fontId="51" fillId="0" borderId="304" xfId="0" applyFont="1" applyBorder="1" applyAlignment="1">
      <alignment vertical="center"/>
    </xf>
    <xf numFmtId="0" fontId="51" fillId="0" borderId="305" xfId="0" applyFont="1" applyBorder="1" applyAlignment="1">
      <alignment vertical="center"/>
    </xf>
    <xf numFmtId="0" fontId="51" fillId="0" borderId="306" xfId="0" applyFont="1" applyBorder="1" applyAlignment="1">
      <alignment vertical="center"/>
    </xf>
    <xf numFmtId="0" fontId="16" fillId="0" borderId="2" xfId="0" applyFont="1" applyBorder="1" applyAlignment="1">
      <alignment vertical="center"/>
    </xf>
    <xf numFmtId="0" fontId="16" fillId="0" borderId="304" xfId="0" applyFont="1" applyBorder="1" applyAlignment="1">
      <alignment vertical="center"/>
    </xf>
    <xf numFmtId="0" fontId="16" fillId="0" borderId="305" xfId="0" applyFont="1" applyBorder="1" applyAlignment="1">
      <alignment vertical="center"/>
    </xf>
    <xf numFmtId="0" fontId="16" fillId="0" borderId="306" xfId="0" applyFont="1" applyBorder="1" applyAlignment="1">
      <alignment vertical="center"/>
    </xf>
    <xf numFmtId="0" fontId="23" fillId="0" borderId="304" xfId="0" applyFont="1" applyBorder="1" applyAlignment="1">
      <alignment vertical="center"/>
    </xf>
    <xf numFmtId="0" fontId="23" fillId="0" borderId="305" xfId="0" applyFont="1" applyBorder="1" applyAlignment="1">
      <alignment vertical="center"/>
    </xf>
    <xf numFmtId="0" fontId="23" fillId="0" borderId="306" xfId="0" applyFont="1" applyBorder="1" applyAlignment="1">
      <alignment vertical="center"/>
    </xf>
    <xf numFmtId="0" fontId="25" fillId="0" borderId="304" xfId="0" applyFont="1" applyBorder="1" applyAlignment="1">
      <alignment vertical="center"/>
    </xf>
    <xf numFmtId="0" fontId="25" fillId="0" borderId="305" xfId="0" applyFont="1" applyBorder="1" applyAlignment="1">
      <alignment vertical="center"/>
    </xf>
    <xf numFmtId="0" fontId="25" fillId="0" borderId="306" xfId="0" applyFont="1" applyBorder="1" applyAlignment="1">
      <alignment vertical="center"/>
    </xf>
    <xf numFmtId="0" fontId="12" fillId="0" borderId="306" xfId="0" applyFont="1" applyBorder="1" applyAlignment="1">
      <alignment horizontal="left" vertical="center"/>
    </xf>
    <xf numFmtId="0" fontId="28" fillId="0" borderId="0" xfId="0" applyFont="1" applyAlignment="1">
      <alignment vertical="center"/>
    </xf>
    <xf numFmtId="170" fontId="46" fillId="0" borderId="0" xfId="0" applyNumberFormat="1" applyFont="1" applyAlignment="1">
      <alignment vertical="center"/>
    </xf>
    <xf numFmtId="0" fontId="173" fillId="0" borderId="2" xfId="0" applyFont="1" applyBorder="1" applyAlignment="1">
      <alignment vertical="center" wrapText="1"/>
    </xf>
    <xf numFmtId="0" fontId="68" fillId="0" borderId="2" xfId="0" applyFont="1" applyBorder="1" applyAlignment="1">
      <alignment horizontal="left" vertical="center" indent="2"/>
    </xf>
    <xf numFmtId="0" fontId="51" fillId="0" borderId="2" xfId="0" applyFont="1" applyBorder="1" applyAlignment="1">
      <alignment horizontal="left" vertical="center" wrapText="1" indent="2"/>
    </xf>
    <xf numFmtId="0" fontId="88" fillId="0" borderId="2" xfId="0" applyFont="1" applyBorder="1" applyAlignment="1">
      <alignment horizontal="left" vertical="center" indent="2"/>
    </xf>
    <xf numFmtId="170" fontId="16" fillId="0" borderId="2" xfId="0" applyNumberFormat="1" applyFont="1" applyBorder="1" applyAlignment="1">
      <alignment horizontal="left" vertical="center" indent="2"/>
    </xf>
    <xf numFmtId="0" fontId="87" fillId="0" borderId="2" xfId="0" applyFont="1" applyBorder="1" applyAlignment="1">
      <alignment horizontal="left" vertical="center" indent="2"/>
    </xf>
    <xf numFmtId="0" fontId="173" fillId="0" borderId="2" xfId="0" applyFont="1" applyBorder="1" applyAlignment="1">
      <alignment horizontal="left" vertical="center" wrapText="1" indent="2"/>
    </xf>
    <xf numFmtId="0" fontId="16" fillId="0" borderId="2" xfId="0" applyFont="1" applyBorder="1" applyAlignment="1">
      <alignment horizontal="left" vertical="center" wrapText="1" indent="2"/>
    </xf>
    <xf numFmtId="0" fontId="3" fillId="0" borderId="2" xfId="0" applyFont="1" applyBorder="1" applyAlignment="1">
      <alignment vertical="center"/>
    </xf>
    <xf numFmtId="0" fontId="175" fillId="0" borderId="0" xfId="0" applyFont="1" applyAlignment="1">
      <alignment horizontal="right"/>
    </xf>
    <xf numFmtId="0" fontId="175" fillId="0" borderId="0" xfId="0" applyFont="1"/>
    <xf numFmtId="10" fontId="175" fillId="0" borderId="0" xfId="0" applyNumberFormat="1" applyFont="1"/>
    <xf numFmtId="0" fontId="23" fillId="0" borderId="2" xfId="0" applyFont="1" applyBorder="1" applyAlignment="1">
      <alignment horizontal="left" vertical="center" wrapText="1" indent="2"/>
    </xf>
    <xf numFmtId="0" fontId="178" fillId="0" borderId="2" xfId="0" applyFont="1" applyBorder="1" applyAlignment="1">
      <alignment vertical="center"/>
    </xf>
    <xf numFmtId="0" fontId="51" fillId="0" borderId="2" xfId="0" applyFont="1" applyBorder="1" applyAlignment="1">
      <alignment horizontal="left" vertical="center" indent="2"/>
    </xf>
    <xf numFmtId="0" fontId="3" fillId="0" borderId="48" xfId="0" applyFont="1" applyBorder="1" applyAlignment="1">
      <alignment vertical="center"/>
    </xf>
    <xf numFmtId="0" fontId="115" fillId="17" borderId="135" xfId="0" applyFont="1" applyFill="1" applyBorder="1" applyAlignment="1">
      <alignment horizontal="center" vertical="center"/>
    </xf>
    <xf numFmtId="0" fontId="23" fillId="14" borderId="304" xfId="0" applyFont="1" applyFill="1" applyBorder="1" applyAlignment="1">
      <alignment vertical="center"/>
    </xf>
    <xf numFmtId="0" fontId="23" fillId="14" borderId="305" xfId="0" applyFont="1" applyFill="1" applyBorder="1" applyAlignment="1">
      <alignment vertical="center"/>
    </xf>
    <xf numFmtId="0" fontId="23" fillId="14" borderId="306" xfId="0" applyFont="1" applyFill="1" applyBorder="1" applyAlignment="1">
      <alignment vertical="center"/>
    </xf>
    <xf numFmtId="0" fontId="133" fillId="0" borderId="307" xfId="0" applyFont="1" applyBorder="1" applyAlignment="1">
      <alignment vertical="center"/>
    </xf>
    <xf numFmtId="0" fontId="179" fillId="0" borderId="307" xfId="0" applyFont="1" applyBorder="1" applyAlignment="1">
      <alignment vertical="center"/>
    </xf>
    <xf numFmtId="0" fontId="179" fillId="0" borderId="0" xfId="0" applyFont="1" applyAlignment="1">
      <alignment vertical="center"/>
    </xf>
    <xf numFmtId="0" fontId="179" fillId="0" borderId="169" xfId="0" applyFont="1" applyBorder="1" applyAlignment="1">
      <alignment vertical="center"/>
    </xf>
    <xf numFmtId="0" fontId="133" fillId="0" borderId="308" xfId="0" applyFont="1" applyBorder="1" applyAlignment="1">
      <alignment vertical="center"/>
    </xf>
    <xf numFmtId="0" fontId="133" fillId="0" borderId="309" xfId="0" applyFont="1" applyBorder="1" applyAlignment="1">
      <alignment vertical="center"/>
    </xf>
    <xf numFmtId="0" fontId="133" fillId="0" borderId="310" xfId="0" applyFont="1" applyBorder="1" applyAlignment="1">
      <alignment vertical="center"/>
    </xf>
    <xf numFmtId="0" fontId="133" fillId="0" borderId="311" xfId="0" applyFont="1" applyBorder="1" applyAlignment="1">
      <alignment vertical="center"/>
    </xf>
    <xf numFmtId="0" fontId="133" fillId="0" borderId="313" xfId="0" applyFont="1" applyBorder="1" applyAlignment="1">
      <alignment vertical="center"/>
    </xf>
    <xf numFmtId="0" fontId="133" fillId="0" borderId="312" xfId="0" applyFont="1" applyBorder="1" applyAlignment="1">
      <alignment vertical="center"/>
    </xf>
    <xf numFmtId="0" fontId="179" fillId="0" borderId="311" xfId="0" applyFont="1" applyBorder="1" applyAlignment="1">
      <alignment vertical="center"/>
    </xf>
    <xf numFmtId="0" fontId="179" fillId="0" borderId="312" xfId="0" applyFont="1" applyBorder="1" applyAlignment="1">
      <alignment vertical="center"/>
    </xf>
    <xf numFmtId="0" fontId="179" fillId="0" borderId="313" xfId="0" applyFont="1" applyBorder="1" applyAlignment="1">
      <alignment vertical="center"/>
    </xf>
    <xf numFmtId="0" fontId="133" fillId="0" borderId="314" xfId="0" applyFont="1" applyBorder="1" applyAlignment="1">
      <alignment vertical="center"/>
    </xf>
    <xf numFmtId="0" fontId="133" fillId="0" borderId="315" xfId="0" applyFont="1" applyBorder="1" applyAlignment="1">
      <alignment vertical="center"/>
    </xf>
    <xf numFmtId="0" fontId="133" fillId="0" borderId="316" xfId="0" applyFont="1" applyBorder="1" applyAlignment="1">
      <alignment vertical="center"/>
    </xf>
    <xf numFmtId="0" fontId="133" fillId="0" borderId="312" xfId="0" applyFont="1" applyBorder="1" applyAlignment="1">
      <alignment horizontal="center" vertical="center" wrapText="1"/>
    </xf>
    <xf numFmtId="0" fontId="179" fillId="0" borderId="312" xfId="0" applyFont="1" applyBorder="1" applyAlignment="1">
      <alignment vertical="center" wrapText="1"/>
    </xf>
    <xf numFmtId="0" fontId="181" fillId="0" borderId="312" xfId="2" applyFont="1" applyBorder="1" applyAlignment="1">
      <alignment vertical="center" wrapText="1"/>
    </xf>
    <xf numFmtId="0" fontId="182" fillId="4" borderId="273" xfId="0" applyFont="1" applyFill="1" applyBorder="1" applyAlignment="1">
      <alignment horizontal="center" vertical="center" wrapText="1"/>
    </xf>
    <xf numFmtId="0" fontId="182" fillId="7" borderId="274" xfId="0" applyFont="1" applyFill="1" applyBorder="1" applyAlignment="1">
      <alignment horizontal="center" vertical="center"/>
    </xf>
    <xf numFmtId="0" fontId="183" fillId="7" borderId="275" xfId="0" applyFont="1" applyFill="1" applyBorder="1" applyAlignment="1">
      <alignment horizontal="center" vertical="center"/>
    </xf>
    <xf numFmtId="0" fontId="182" fillId="6" borderId="288" xfId="0" applyFont="1" applyFill="1" applyBorder="1" applyAlignment="1">
      <alignment horizontal="center" vertical="center"/>
    </xf>
    <xf numFmtId="0" fontId="182" fillId="15" borderId="275" xfId="0" quotePrefix="1" applyFont="1" applyFill="1" applyBorder="1" applyAlignment="1">
      <alignment horizontal="center" vertical="center"/>
    </xf>
    <xf numFmtId="0" fontId="182" fillId="5" borderId="288" xfId="0" applyFont="1" applyFill="1" applyBorder="1" applyAlignment="1">
      <alignment horizontal="center" vertical="center"/>
    </xf>
    <xf numFmtId="0" fontId="182" fillId="5" borderId="295" xfId="0" applyFont="1" applyFill="1" applyBorder="1" applyAlignment="1">
      <alignment horizontal="center" vertical="center"/>
    </xf>
    <xf numFmtId="0" fontId="0" fillId="23" borderId="0" xfId="0" applyFill="1" applyAlignment="1">
      <alignment vertical="center"/>
    </xf>
    <xf numFmtId="0" fontId="182" fillId="4" borderId="317" xfId="0" applyFont="1" applyFill="1" applyBorder="1" applyAlignment="1">
      <alignment horizontal="center" vertical="center" wrapText="1"/>
    </xf>
    <xf numFmtId="0" fontId="182" fillId="4" borderId="318" xfId="0" applyFont="1" applyFill="1" applyBorder="1" applyAlignment="1">
      <alignment horizontal="center" vertical="center" wrapText="1"/>
    </xf>
    <xf numFmtId="0" fontId="173" fillId="0" borderId="0" xfId="0" applyFont="1" applyAlignment="1">
      <alignment vertical="center"/>
    </xf>
    <xf numFmtId="0" fontId="186" fillId="0" borderId="0" xfId="0" applyFont="1" applyAlignment="1">
      <alignment vertical="center"/>
    </xf>
    <xf numFmtId="0" fontId="161" fillId="0" borderId="14" xfId="0" applyFont="1" applyBorder="1" applyAlignment="1">
      <alignment horizontal="left" vertical="center"/>
    </xf>
    <xf numFmtId="0" fontId="54" fillId="0" borderId="0" xfId="0" applyFont="1" applyAlignment="1">
      <alignment vertical="center"/>
    </xf>
    <xf numFmtId="0" fontId="54" fillId="0" borderId="134" xfId="0" applyFont="1" applyBorder="1" applyAlignment="1">
      <alignment vertical="center"/>
    </xf>
    <xf numFmtId="1" fontId="16" fillId="0" borderId="0" xfId="0" applyNumberFormat="1" applyFont="1" applyAlignment="1">
      <alignment vertical="center"/>
    </xf>
    <xf numFmtId="2" fontId="16" fillId="0" borderId="0" xfId="0" applyNumberFormat="1" applyFont="1" applyAlignment="1">
      <alignment vertical="center"/>
    </xf>
    <xf numFmtId="9" fontId="16" fillId="0" borderId="0" xfId="0" applyNumberFormat="1" applyFont="1" applyAlignment="1">
      <alignment vertical="center"/>
    </xf>
    <xf numFmtId="168" fontId="16" fillId="0" borderId="0" xfId="1" applyNumberFormat="1" applyFont="1" applyAlignment="1">
      <alignment vertical="center"/>
    </xf>
    <xf numFmtId="10" fontId="16" fillId="0" borderId="0" xfId="0" applyNumberFormat="1" applyFont="1" applyAlignment="1">
      <alignment vertical="center"/>
    </xf>
    <xf numFmtId="170" fontId="16" fillId="0" borderId="0" xfId="0" applyNumberFormat="1" applyFont="1" applyAlignment="1">
      <alignment vertical="center"/>
    </xf>
    <xf numFmtId="0" fontId="30" fillId="7" borderId="32" xfId="0" quotePrefix="1" applyFont="1" applyFill="1" applyBorder="1" applyAlignment="1">
      <alignment horizontal="center" vertical="center"/>
    </xf>
    <xf numFmtId="170" fontId="25" fillId="7" borderId="32" xfId="0" applyNumberFormat="1" applyFont="1" applyFill="1" applyBorder="1" applyAlignment="1">
      <alignment vertical="center"/>
    </xf>
    <xf numFmtId="170" fontId="186" fillId="0" borderId="320" xfId="0" applyNumberFormat="1" applyFont="1" applyBorder="1" applyAlignment="1">
      <alignment vertical="center"/>
    </xf>
    <xf numFmtId="0" fontId="188" fillId="0" borderId="20" xfId="0" applyFont="1" applyBorder="1" applyAlignment="1">
      <alignment horizontal="left" vertical="center"/>
    </xf>
    <xf numFmtId="0" fontId="173" fillId="7" borderId="319" xfId="0" quotePrefix="1" applyFont="1" applyFill="1" applyBorder="1" applyAlignment="1">
      <alignment horizontal="center" vertical="center"/>
    </xf>
    <xf numFmtId="170" fontId="173" fillId="7" borderId="319" xfId="0" applyNumberFormat="1" applyFont="1" applyFill="1" applyBorder="1" applyAlignment="1">
      <alignment vertical="center"/>
    </xf>
    <xf numFmtId="0" fontId="187" fillId="7" borderId="319" xfId="0" applyFont="1" applyFill="1" applyBorder="1" applyAlignment="1">
      <alignment horizontal="left" vertical="center"/>
    </xf>
    <xf numFmtId="0" fontId="176" fillId="7" borderId="319" xfId="0" applyFont="1" applyFill="1" applyBorder="1" applyAlignment="1">
      <alignment horizontal="left" vertical="center"/>
    </xf>
    <xf numFmtId="0" fontId="173" fillId="7" borderId="321" xfId="0" quotePrefix="1" applyFont="1" applyFill="1" applyBorder="1" applyAlignment="1">
      <alignment horizontal="center" vertical="center"/>
    </xf>
    <xf numFmtId="0" fontId="173" fillId="7" borderId="322" xfId="0" quotePrefix="1" applyFont="1" applyFill="1" applyBorder="1" applyAlignment="1">
      <alignment horizontal="center" vertical="center"/>
    </xf>
    <xf numFmtId="0" fontId="173" fillId="7" borderId="323" xfId="0" quotePrefix="1" applyFont="1" applyFill="1" applyBorder="1" applyAlignment="1">
      <alignment horizontal="center" vertical="center"/>
    </xf>
    <xf numFmtId="170" fontId="16" fillId="0" borderId="324" xfId="0" applyNumberFormat="1" applyFont="1" applyBorder="1" applyAlignment="1">
      <alignment vertical="center"/>
    </xf>
    <xf numFmtId="170" fontId="16" fillId="0" borderId="325" xfId="0" applyNumberFormat="1" applyFont="1" applyBorder="1" applyAlignment="1">
      <alignment vertical="center"/>
    </xf>
    <xf numFmtId="170" fontId="16" fillId="0" borderId="326" xfId="0" applyNumberFormat="1" applyFont="1" applyBorder="1" applyAlignment="1">
      <alignment vertical="center"/>
    </xf>
    <xf numFmtId="170" fontId="16" fillId="0" borderId="327" xfId="0" applyNumberFormat="1" applyFont="1" applyBorder="1" applyAlignment="1">
      <alignment vertical="center"/>
    </xf>
    <xf numFmtId="170" fontId="16" fillId="0" borderId="328" xfId="0" applyNumberFormat="1" applyFont="1" applyBorder="1" applyAlignment="1">
      <alignment vertical="center"/>
    </xf>
    <xf numFmtId="170" fontId="16" fillId="0" borderId="329" xfId="0" applyNumberFormat="1" applyFont="1" applyBorder="1" applyAlignment="1">
      <alignment vertical="center"/>
    </xf>
    <xf numFmtId="170" fontId="173" fillId="7" borderId="321" xfId="0" applyNumberFormat="1" applyFont="1" applyFill="1" applyBorder="1" applyAlignment="1">
      <alignment vertical="center"/>
    </xf>
    <xf numFmtId="170" fontId="173" fillId="7" borderId="322" xfId="0" applyNumberFormat="1" applyFont="1" applyFill="1" applyBorder="1" applyAlignment="1">
      <alignment vertical="center"/>
    </xf>
    <xf numFmtId="170" fontId="173" fillId="7" borderId="323" xfId="0" applyNumberFormat="1" applyFont="1" applyFill="1" applyBorder="1" applyAlignment="1">
      <alignment vertical="center"/>
    </xf>
    <xf numFmtId="170" fontId="16" fillId="0" borderId="330" xfId="0" applyNumberFormat="1" applyFont="1" applyBorder="1" applyAlignment="1">
      <alignment vertical="center"/>
    </xf>
    <xf numFmtId="170" fontId="16" fillId="0" borderId="331" xfId="0" applyNumberFormat="1" applyFont="1" applyBorder="1" applyAlignment="1">
      <alignment vertical="center"/>
    </xf>
    <xf numFmtId="0" fontId="161" fillId="13" borderId="330" xfId="0" applyFont="1" applyFill="1" applyBorder="1" applyAlignment="1">
      <alignment horizontal="left" vertical="center"/>
    </xf>
    <xf numFmtId="0" fontId="161" fillId="13" borderId="331" xfId="0" applyFont="1" applyFill="1" applyBorder="1" applyAlignment="1">
      <alignment horizontal="left" vertical="center"/>
    </xf>
    <xf numFmtId="0" fontId="173" fillId="15" borderId="321" xfId="0" quotePrefix="1" applyFont="1" applyFill="1" applyBorder="1" applyAlignment="1">
      <alignment horizontal="center" vertical="center"/>
    </xf>
    <xf numFmtId="0" fontId="173" fillId="15" borderId="322" xfId="0" quotePrefix="1" applyFont="1" applyFill="1" applyBorder="1" applyAlignment="1">
      <alignment horizontal="center" vertical="center"/>
    </xf>
    <xf numFmtId="0" fontId="173" fillId="15" borderId="323" xfId="0" quotePrefix="1" applyFont="1" applyFill="1" applyBorder="1" applyAlignment="1">
      <alignment horizontal="center" vertical="center"/>
    </xf>
    <xf numFmtId="0" fontId="173" fillId="15" borderId="319" xfId="0" quotePrefix="1" applyFont="1" applyFill="1" applyBorder="1" applyAlignment="1">
      <alignment horizontal="center" vertical="center"/>
    </xf>
    <xf numFmtId="170" fontId="173" fillId="15" borderId="319" xfId="0" applyNumberFormat="1" applyFont="1" applyFill="1" applyBorder="1" applyAlignment="1">
      <alignment vertical="center"/>
    </xf>
    <xf numFmtId="0" fontId="187" fillId="15" borderId="319" xfId="0" applyFont="1" applyFill="1" applyBorder="1" applyAlignment="1">
      <alignment horizontal="left" vertical="center"/>
    </xf>
    <xf numFmtId="170" fontId="173" fillId="15" borderId="321" xfId="0" applyNumberFormat="1" applyFont="1" applyFill="1" applyBorder="1" applyAlignment="1">
      <alignment vertical="center"/>
    </xf>
    <xf numFmtId="170" fontId="173" fillId="15" borderId="322" xfId="0" applyNumberFormat="1" applyFont="1" applyFill="1" applyBorder="1" applyAlignment="1">
      <alignment vertical="center"/>
    </xf>
    <xf numFmtId="170" fontId="173" fillId="15" borderId="323" xfId="0" applyNumberFormat="1" applyFont="1" applyFill="1" applyBorder="1" applyAlignment="1">
      <alignment vertical="center"/>
    </xf>
    <xf numFmtId="0" fontId="176" fillId="15" borderId="319" xfId="0" applyFont="1" applyFill="1" applyBorder="1" applyAlignment="1">
      <alignment horizontal="left" vertical="center"/>
    </xf>
    <xf numFmtId="0" fontId="161" fillId="12" borderId="330" xfId="0" applyFont="1" applyFill="1" applyBorder="1" applyAlignment="1">
      <alignment horizontal="left" vertical="center"/>
    </xf>
    <xf numFmtId="0" fontId="161" fillId="12" borderId="331" xfId="0" applyFont="1" applyFill="1" applyBorder="1" applyAlignment="1">
      <alignment horizontal="left" vertical="center"/>
    </xf>
    <xf numFmtId="0" fontId="173" fillId="24" borderId="321" xfId="0" quotePrefix="1" applyFont="1" applyFill="1" applyBorder="1" applyAlignment="1">
      <alignment horizontal="center" vertical="center"/>
    </xf>
    <xf numFmtId="0" fontId="173" fillId="24" borderId="322" xfId="0" quotePrefix="1" applyFont="1" applyFill="1" applyBorder="1" applyAlignment="1">
      <alignment horizontal="center" vertical="center"/>
    </xf>
    <xf numFmtId="0" fontId="173" fillId="24" borderId="323" xfId="0" quotePrefix="1" applyFont="1" applyFill="1" applyBorder="1" applyAlignment="1">
      <alignment horizontal="center" vertical="center"/>
    </xf>
    <xf numFmtId="0" fontId="173" fillId="24" borderId="319" xfId="0" quotePrefix="1" applyFont="1" applyFill="1" applyBorder="1" applyAlignment="1">
      <alignment horizontal="center" vertical="center"/>
    </xf>
    <xf numFmtId="170" fontId="173" fillId="24" borderId="319" xfId="0" applyNumberFormat="1" applyFont="1" applyFill="1" applyBorder="1" applyAlignment="1">
      <alignment vertical="center"/>
    </xf>
    <xf numFmtId="0" fontId="176" fillId="24" borderId="319" xfId="0" applyFont="1" applyFill="1" applyBorder="1" applyAlignment="1">
      <alignment horizontal="left" vertical="center"/>
    </xf>
    <xf numFmtId="170" fontId="173" fillId="24" borderId="321" xfId="0" applyNumberFormat="1" applyFont="1" applyFill="1" applyBorder="1" applyAlignment="1">
      <alignment vertical="center"/>
    </xf>
    <xf numFmtId="170" fontId="173" fillId="24" borderId="322" xfId="0" applyNumberFormat="1" applyFont="1" applyFill="1" applyBorder="1" applyAlignment="1">
      <alignment vertical="center"/>
    </xf>
    <xf numFmtId="170" fontId="173" fillId="24" borderId="323" xfId="0" applyNumberFormat="1" applyFont="1" applyFill="1" applyBorder="1" applyAlignment="1">
      <alignment vertical="center"/>
    </xf>
    <xf numFmtId="0" fontId="187" fillId="24" borderId="319" xfId="0" applyFont="1" applyFill="1" applyBorder="1" applyAlignment="1">
      <alignment horizontal="left" vertical="center"/>
    </xf>
    <xf numFmtId="0" fontId="161" fillId="11" borderId="330" xfId="0" applyFont="1" applyFill="1" applyBorder="1" applyAlignment="1">
      <alignment horizontal="left" vertical="center"/>
    </xf>
    <xf numFmtId="0" fontId="161" fillId="11" borderId="331" xfId="0" applyFont="1" applyFill="1" applyBorder="1" applyAlignment="1">
      <alignment horizontal="left" vertical="center"/>
    </xf>
    <xf numFmtId="0" fontId="54" fillId="0" borderId="22" xfId="0" applyFont="1" applyBorder="1" applyAlignment="1">
      <alignment vertical="center"/>
    </xf>
    <xf numFmtId="0" fontId="190" fillId="0" borderId="133" xfId="0" applyFont="1" applyBorder="1" applyAlignment="1">
      <alignment vertical="center"/>
    </xf>
    <xf numFmtId="0" fontId="54" fillId="0" borderId="21" xfId="0" applyFont="1" applyBorder="1" applyAlignment="1">
      <alignment vertical="center"/>
    </xf>
    <xf numFmtId="0" fontId="113" fillId="22" borderId="271" xfId="0" applyFont="1" applyFill="1" applyBorder="1" applyAlignment="1">
      <alignment vertical="center"/>
    </xf>
    <xf numFmtId="0" fontId="114" fillId="22" borderId="271" xfId="0" applyFont="1" applyFill="1" applyBorder="1" applyAlignment="1">
      <alignment vertical="center"/>
    </xf>
    <xf numFmtId="0" fontId="23" fillId="13" borderId="276" xfId="0" applyFont="1" applyFill="1" applyBorder="1" applyAlignment="1">
      <alignment horizontal="left" vertical="center" indent="1"/>
    </xf>
    <xf numFmtId="0" fontId="20" fillId="0" borderId="277" xfId="0" applyFont="1" applyBorder="1" applyAlignment="1">
      <alignment horizontal="left" vertical="center" indent="1"/>
    </xf>
    <xf numFmtId="0" fontId="23" fillId="12" borderId="289" xfId="0" applyFont="1" applyFill="1" applyBorder="1" applyAlignment="1">
      <alignment horizontal="left" vertical="center" indent="1"/>
    </xf>
    <xf numFmtId="0" fontId="23" fillId="11" borderId="289" xfId="0" quotePrefix="1" applyFont="1" applyFill="1" applyBorder="1" applyAlignment="1">
      <alignment horizontal="left" vertical="center" indent="1"/>
    </xf>
    <xf numFmtId="0" fontId="21" fillId="0" borderId="296" xfId="0" applyFont="1" applyBorder="1" applyAlignment="1">
      <alignment horizontal="left" vertical="center" indent="1"/>
    </xf>
    <xf numFmtId="0" fontId="23" fillId="13" borderId="278" xfId="0" applyFont="1" applyFill="1" applyBorder="1" applyAlignment="1">
      <alignment horizontal="left" vertical="center" indent="1"/>
    </xf>
    <xf numFmtId="0" fontId="20" fillId="0" borderId="279" xfId="0" applyFont="1" applyBorder="1" applyAlignment="1">
      <alignment horizontal="left" vertical="center" indent="1"/>
    </xf>
    <xf numFmtId="0" fontId="23" fillId="12" borderId="290" xfId="0" applyFont="1" applyFill="1" applyBorder="1" applyAlignment="1">
      <alignment horizontal="left" vertical="center" indent="1"/>
    </xf>
    <xf numFmtId="0" fontId="23" fillId="11" borderId="290" xfId="0" quotePrefix="1" applyFont="1" applyFill="1" applyBorder="1" applyAlignment="1">
      <alignment horizontal="left" vertical="center" indent="1"/>
    </xf>
    <xf numFmtId="0" fontId="20" fillId="0" borderId="297" xfId="0" quotePrefix="1" applyFont="1" applyBorder="1" applyAlignment="1">
      <alignment horizontal="left" vertical="center" indent="1"/>
    </xf>
    <xf numFmtId="0" fontId="21" fillId="0" borderId="297" xfId="0" applyFont="1" applyBorder="1" applyAlignment="1">
      <alignment horizontal="left" vertical="center" indent="1"/>
    </xf>
    <xf numFmtId="0" fontId="23" fillId="13" borderId="280" xfId="0" applyFont="1" applyFill="1" applyBorder="1" applyAlignment="1">
      <alignment horizontal="left" vertical="center" indent="1"/>
    </xf>
    <xf numFmtId="0" fontId="20" fillId="0" borderId="281" xfId="0" applyFont="1" applyBorder="1" applyAlignment="1">
      <alignment horizontal="left" vertical="center" indent="1"/>
    </xf>
    <xf numFmtId="0" fontId="23" fillId="12" borderId="291" xfId="0" applyFont="1" applyFill="1" applyBorder="1" applyAlignment="1">
      <alignment horizontal="left" vertical="center" indent="1"/>
    </xf>
    <xf numFmtId="0" fontId="23" fillId="11" borderId="291" xfId="0" applyFont="1" applyFill="1" applyBorder="1" applyAlignment="1">
      <alignment horizontal="left" vertical="center" indent="1"/>
    </xf>
    <xf numFmtId="0" fontId="21" fillId="0" borderId="298" xfId="0" applyFont="1" applyBorder="1" applyAlignment="1">
      <alignment horizontal="left" vertical="center" indent="1"/>
    </xf>
    <xf numFmtId="0" fontId="23" fillId="13" borderId="282" xfId="0" applyFont="1" applyFill="1" applyBorder="1" applyAlignment="1">
      <alignment horizontal="left" vertical="center" indent="1"/>
    </xf>
    <xf numFmtId="0" fontId="21" fillId="0" borderId="283" xfId="0" applyFont="1" applyBorder="1" applyAlignment="1">
      <alignment horizontal="left" vertical="center" indent="1"/>
    </xf>
    <xf numFmtId="0" fontId="23" fillId="12" borderId="292" xfId="0" applyFont="1" applyFill="1" applyBorder="1" applyAlignment="1">
      <alignment horizontal="left" vertical="center" indent="1"/>
    </xf>
    <xf numFmtId="0" fontId="23" fillId="11" borderId="292" xfId="0" applyFont="1" applyFill="1" applyBorder="1" applyAlignment="1">
      <alignment horizontal="left" vertical="center" indent="1"/>
    </xf>
    <xf numFmtId="0" fontId="21" fillId="0" borderId="299" xfId="0" applyFont="1" applyBorder="1" applyAlignment="1">
      <alignment horizontal="left" vertical="center" indent="1"/>
    </xf>
    <xf numFmtId="0" fontId="23" fillId="13" borderId="284" xfId="0" applyFont="1" applyFill="1" applyBorder="1" applyAlignment="1">
      <alignment horizontal="left" vertical="center" indent="1"/>
    </xf>
    <xf numFmtId="0" fontId="21" fillId="0" borderId="285" xfId="0" applyFont="1" applyBorder="1" applyAlignment="1">
      <alignment horizontal="left" vertical="center" indent="1"/>
    </xf>
    <xf numFmtId="0" fontId="23" fillId="12" borderId="293" xfId="0" applyFont="1" applyFill="1" applyBorder="1" applyAlignment="1">
      <alignment horizontal="left" vertical="center" indent="1"/>
    </xf>
    <xf numFmtId="0" fontId="23" fillId="11" borderId="293" xfId="0" applyFont="1" applyFill="1" applyBorder="1" applyAlignment="1">
      <alignment horizontal="left" vertical="center" indent="1"/>
    </xf>
    <xf numFmtId="0" fontId="21" fillId="0" borderId="300" xfId="0" applyFont="1" applyBorder="1" applyAlignment="1">
      <alignment horizontal="left" vertical="center" indent="1"/>
    </xf>
    <xf numFmtId="0" fontId="23" fillId="13" borderId="286" xfId="0" quotePrefix="1" applyFont="1" applyFill="1" applyBorder="1" applyAlignment="1">
      <alignment horizontal="left" vertical="center" indent="1"/>
    </xf>
    <xf numFmtId="0" fontId="21" fillId="0" borderId="287" xfId="0" applyFont="1" applyBorder="1" applyAlignment="1">
      <alignment horizontal="left" vertical="center" indent="1"/>
    </xf>
    <xf numFmtId="0" fontId="23" fillId="12" borderId="294" xfId="0" applyFont="1" applyFill="1" applyBorder="1" applyAlignment="1">
      <alignment horizontal="left" vertical="center" indent="1"/>
    </xf>
    <xf numFmtId="0" fontId="23" fillId="11" borderId="294" xfId="0" quotePrefix="1" applyFont="1" applyFill="1" applyBorder="1" applyAlignment="1">
      <alignment horizontal="left" vertical="center" indent="1"/>
    </xf>
    <xf numFmtId="0" fontId="21" fillId="0" borderId="301" xfId="0" applyFont="1" applyBorder="1" applyAlignment="1">
      <alignment horizontal="left" vertical="center" indent="1"/>
    </xf>
    <xf numFmtId="0" fontId="192" fillId="0" borderId="304" xfId="0" applyFont="1" applyBorder="1" applyAlignment="1">
      <alignment horizontal="left" vertical="center" indent="2"/>
    </xf>
    <xf numFmtId="0" fontId="2" fillId="0" borderId="2" xfId="0" applyFont="1" applyBorder="1" applyAlignment="1">
      <alignment vertical="center"/>
    </xf>
    <xf numFmtId="0" fontId="20" fillId="12" borderId="11" xfId="0" quotePrefix="1" applyFont="1" applyFill="1" applyBorder="1" applyAlignment="1">
      <alignment horizontal="center" vertical="center"/>
    </xf>
    <xf numFmtId="0" fontId="20" fillId="12" borderId="80" xfId="0" quotePrefix="1" applyFont="1" applyFill="1" applyBorder="1" applyAlignment="1">
      <alignment horizontal="center" vertical="center"/>
    </xf>
    <xf numFmtId="0" fontId="20" fillId="12" borderId="82" xfId="0" quotePrefix="1" applyFont="1" applyFill="1" applyBorder="1" applyAlignment="1">
      <alignment horizontal="center" vertical="center"/>
    </xf>
    <xf numFmtId="0" fontId="20" fillId="12" borderId="19" xfId="0" quotePrefix="1" applyFont="1" applyFill="1" applyBorder="1" applyAlignment="1">
      <alignment horizontal="center" vertical="center"/>
    </xf>
    <xf numFmtId="0" fontId="20" fillId="12" borderId="84" xfId="0" quotePrefix="1" applyFont="1" applyFill="1" applyBorder="1" applyAlignment="1">
      <alignment horizontal="center" vertical="center"/>
    </xf>
    <xf numFmtId="0" fontId="20" fillId="12" borderId="85" xfId="0" quotePrefix="1" applyFont="1" applyFill="1" applyBorder="1" applyAlignment="1">
      <alignment horizontal="center" vertical="center"/>
    </xf>
    <xf numFmtId="175" fontId="23" fillId="0" borderId="167" xfId="0" applyNumberFormat="1" applyFont="1" applyBorder="1" applyAlignment="1">
      <alignment vertical="center"/>
    </xf>
    <xf numFmtId="175" fontId="110" fillId="0" borderId="122" xfId="0" applyNumberFormat="1" applyFont="1" applyBorder="1" applyAlignment="1">
      <alignment vertical="center"/>
    </xf>
    <xf numFmtId="175" fontId="110" fillId="0" borderId="124" xfId="0" applyNumberFormat="1" applyFont="1" applyBorder="1" applyAlignment="1">
      <alignment vertical="center"/>
    </xf>
    <xf numFmtId="175" fontId="110" fillId="0" borderId="120" xfId="0" applyNumberFormat="1" applyFont="1" applyBorder="1" applyAlignment="1">
      <alignment vertical="center"/>
    </xf>
    <xf numFmtId="175" fontId="112" fillId="0" borderId="118" xfId="0" applyNumberFormat="1" applyFont="1" applyBorder="1" applyAlignment="1">
      <alignment vertical="center"/>
    </xf>
    <xf numFmtId="175" fontId="110" fillId="0" borderId="140" xfId="0" applyNumberFormat="1" applyFont="1" applyBorder="1" applyAlignment="1">
      <alignment vertical="center"/>
    </xf>
    <xf numFmtId="175" fontId="110" fillId="0" borderId="142" xfId="0" applyNumberFormat="1" applyFont="1" applyBorder="1" applyAlignment="1">
      <alignment vertical="center"/>
    </xf>
    <xf numFmtId="175" fontId="110" fillId="0" borderId="144" xfId="0" applyNumberFormat="1" applyFont="1" applyBorder="1" applyAlignment="1">
      <alignment vertical="center"/>
    </xf>
    <xf numFmtId="168" fontId="11" fillId="0" borderId="97" xfId="0" applyNumberFormat="1" applyFont="1" applyBorder="1" applyAlignment="1">
      <alignment horizontal="center" vertical="center"/>
    </xf>
    <xf numFmtId="168" fontId="11" fillId="0" borderId="113" xfId="0" applyNumberFormat="1" applyFont="1" applyBorder="1" applyAlignment="1">
      <alignment horizontal="center" vertical="center"/>
    </xf>
    <xf numFmtId="168" fontId="11" fillId="0" borderId="6" xfId="0" applyNumberFormat="1" applyFont="1" applyBorder="1" applyAlignment="1">
      <alignment horizontal="center" vertical="center"/>
    </xf>
    <xf numFmtId="168" fontId="46" fillId="0" borderId="27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176" fontId="16" fillId="0" borderId="324" xfId="0" applyNumberFormat="1" applyFont="1" applyBorder="1" applyAlignment="1">
      <alignment vertical="center"/>
    </xf>
    <xf numFmtId="176" fontId="16" fillId="0" borderId="325" xfId="0" applyNumberFormat="1" applyFont="1" applyBorder="1" applyAlignment="1">
      <alignment vertical="center"/>
    </xf>
    <xf numFmtId="176" fontId="16" fillId="0" borderId="326" xfId="0" applyNumberFormat="1" applyFont="1" applyBorder="1" applyAlignment="1">
      <alignment vertical="center"/>
    </xf>
    <xf numFmtId="176" fontId="11" fillId="0" borderId="97" xfId="0" applyNumberFormat="1" applyFont="1" applyBorder="1" applyAlignment="1">
      <alignment vertical="center"/>
    </xf>
    <xf numFmtId="176" fontId="16" fillId="0" borderId="327" xfId="0" applyNumberFormat="1" applyFont="1" applyBorder="1" applyAlignment="1">
      <alignment vertical="center"/>
    </xf>
    <xf numFmtId="176" fontId="16" fillId="0" borderId="328" xfId="0" applyNumberFormat="1" applyFont="1" applyBorder="1" applyAlignment="1">
      <alignment vertical="center"/>
    </xf>
    <xf numFmtId="176" fontId="16" fillId="0" borderId="329" xfId="0" applyNumberFormat="1" applyFont="1" applyBorder="1" applyAlignment="1">
      <alignment vertical="center"/>
    </xf>
    <xf numFmtId="0" fontId="196" fillId="0" borderId="0" xfId="0" applyFont="1" applyAlignment="1">
      <alignment horizontal="right"/>
    </xf>
    <xf numFmtId="0" fontId="195" fillId="0" borderId="0" xfId="0" applyFont="1" applyAlignment="1">
      <alignment horizontal="center" vertical="center"/>
    </xf>
    <xf numFmtId="1" fontId="195" fillId="0" borderId="0" xfId="3" applyNumberFormat="1" applyFont="1" applyAlignment="1">
      <alignment horizontal="center" vertical="center"/>
    </xf>
    <xf numFmtId="0" fontId="18" fillId="7" borderId="102" xfId="0" applyFont="1" applyFill="1" applyBorder="1" applyAlignment="1">
      <alignment horizontal="center" vertical="center"/>
    </xf>
    <xf numFmtId="177" fontId="23" fillId="25" borderId="332" xfId="0" applyNumberFormat="1" applyFont="1" applyFill="1" applyBorder="1" applyAlignment="1">
      <alignment horizontal="left" vertical="center"/>
    </xf>
    <xf numFmtId="180" fontId="23" fillId="25" borderId="333" xfId="0" applyNumberFormat="1" applyFont="1" applyFill="1" applyBorder="1" applyAlignment="1">
      <alignment horizontal="left" vertical="center"/>
    </xf>
    <xf numFmtId="183" fontId="23" fillId="25" borderId="333" xfId="0" applyNumberFormat="1" applyFont="1" applyFill="1" applyBorder="1" applyAlignment="1">
      <alignment vertical="center"/>
    </xf>
    <xf numFmtId="186" fontId="23" fillId="25" borderId="333" xfId="0" applyNumberFormat="1" applyFont="1" applyFill="1" applyBorder="1" applyAlignment="1">
      <alignment vertical="center"/>
    </xf>
    <xf numFmtId="189" fontId="23" fillId="25" borderId="333" xfId="0" applyNumberFormat="1" applyFont="1" applyFill="1" applyBorder="1" applyAlignment="1">
      <alignment vertical="center"/>
    </xf>
    <xf numFmtId="192" fontId="23" fillId="25" borderId="333" xfId="0" applyNumberFormat="1" applyFont="1" applyFill="1" applyBorder="1" applyAlignment="1">
      <alignment vertical="center"/>
    </xf>
    <xf numFmtId="196" fontId="23" fillId="25" borderId="334" xfId="0" applyNumberFormat="1" applyFont="1" applyFill="1" applyBorder="1" applyAlignment="1">
      <alignment vertical="center"/>
    </xf>
    <xf numFmtId="199" fontId="23" fillId="25" borderId="335" xfId="0" applyNumberFormat="1" applyFont="1" applyFill="1" applyBorder="1" applyAlignment="1">
      <alignment vertical="center"/>
    </xf>
    <xf numFmtId="202" fontId="23" fillId="25" borderId="336" xfId="0" applyNumberFormat="1" applyFont="1" applyFill="1" applyBorder="1" applyAlignment="1">
      <alignment vertical="center"/>
    </xf>
    <xf numFmtId="205" fontId="23" fillId="25" borderId="337" xfId="0" applyNumberFormat="1" applyFont="1" applyFill="1" applyBorder="1" applyAlignment="1">
      <alignment vertical="center"/>
    </xf>
    <xf numFmtId="179" fontId="23" fillId="27" borderId="339" xfId="0" applyNumberFormat="1" applyFont="1" applyFill="1" applyBorder="1" applyAlignment="1">
      <alignment vertical="center"/>
    </xf>
    <xf numFmtId="182" fontId="23" fillId="27" borderId="340" xfId="0" applyNumberFormat="1" applyFont="1" applyFill="1" applyBorder="1" applyAlignment="1">
      <alignment vertical="center"/>
    </xf>
    <xf numFmtId="185" fontId="23" fillId="27" borderId="340" xfId="0" applyNumberFormat="1" applyFont="1" applyFill="1" applyBorder="1" applyAlignment="1">
      <alignment vertical="center"/>
    </xf>
    <xf numFmtId="188" fontId="23" fillId="27" borderId="340" xfId="0" applyNumberFormat="1" applyFont="1" applyFill="1" applyBorder="1" applyAlignment="1">
      <alignment vertical="center"/>
    </xf>
    <xf numFmtId="191" fontId="23" fillId="27" borderId="340" xfId="0" applyNumberFormat="1" applyFont="1" applyFill="1" applyBorder="1" applyAlignment="1">
      <alignment vertical="center"/>
    </xf>
    <xf numFmtId="194" fontId="23" fillId="27" borderId="340" xfId="0" applyNumberFormat="1" applyFont="1" applyFill="1" applyBorder="1" applyAlignment="1">
      <alignment vertical="center"/>
    </xf>
    <xf numFmtId="198" fontId="23" fillId="27" borderId="341" xfId="0" applyNumberFormat="1" applyFont="1" applyFill="1" applyBorder="1" applyAlignment="1">
      <alignment vertical="center"/>
    </xf>
    <xf numFmtId="201" fontId="23" fillId="27" borderId="342" xfId="0" applyNumberFormat="1" applyFont="1" applyFill="1" applyBorder="1" applyAlignment="1">
      <alignment vertical="center"/>
    </xf>
    <xf numFmtId="204" fontId="23" fillId="27" borderId="343" xfId="0" applyNumberFormat="1" applyFont="1" applyFill="1" applyBorder="1" applyAlignment="1">
      <alignment vertical="center"/>
    </xf>
    <xf numFmtId="207" fontId="23" fillId="27" borderId="344" xfId="0" applyNumberFormat="1" applyFont="1" applyFill="1" applyBorder="1" applyAlignment="1">
      <alignment vertical="center"/>
    </xf>
    <xf numFmtId="0" fontId="65" fillId="6" borderId="338" xfId="0" quotePrefix="1" applyFont="1" applyFill="1" applyBorder="1" applyAlignment="1">
      <alignment horizontal="center" vertical="center"/>
    </xf>
    <xf numFmtId="178" fontId="23" fillId="26" borderId="345" xfId="0" applyNumberFormat="1" applyFont="1" applyFill="1" applyBorder="1" applyAlignment="1">
      <alignment vertical="center"/>
    </xf>
    <xf numFmtId="181" fontId="23" fillId="26" borderId="346" xfId="0" applyNumberFormat="1" applyFont="1" applyFill="1" applyBorder="1" applyAlignment="1">
      <alignment vertical="center"/>
    </xf>
    <xf numFmtId="184" fontId="23" fillId="26" borderId="346" xfId="0" applyNumberFormat="1" applyFont="1" applyFill="1" applyBorder="1" applyAlignment="1">
      <alignment vertical="center"/>
    </xf>
    <xf numFmtId="187" fontId="23" fillId="26" borderId="346" xfId="0" applyNumberFormat="1" applyFont="1" applyFill="1" applyBorder="1" applyAlignment="1">
      <alignment vertical="center"/>
    </xf>
    <xf numFmtId="190" fontId="23" fillId="26" borderId="346" xfId="0" applyNumberFormat="1" applyFont="1" applyFill="1" applyBorder="1" applyAlignment="1">
      <alignment vertical="center"/>
    </xf>
    <xf numFmtId="193" fontId="23" fillId="26" borderId="346" xfId="0" applyNumberFormat="1" applyFont="1" applyFill="1" applyBorder="1" applyAlignment="1">
      <alignment vertical="center"/>
    </xf>
    <xf numFmtId="195" fontId="23" fillId="26" borderId="346" xfId="0" applyNumberFormat="1" applyFont="1" applyFill="1" applyBorder="1" applyAlignment="1">
      <alignment vertical="center"/>
    </xf>
    <xf numFmtId="197" fontId="23" fillId="26" borderId="14" xfId="0" applyNumberFormat="1" applyFont="1" applyFill="1" applyBorder="1" applyAlignment="1">
      <alignment vertical="center"/>
    </xf>
    <xf numFmtId="200" fontId="23" fillId="26" borderId="347" xfId="0" applyNumberFormat="1" applyFont="1" applyFill="1" applyBorder="1" applyAlignment="1">
      <alignment vertical="center"/>
    </xf>
    <xf numFmtId="203" fontId="23" fillId="26" borderId="348" xfId="0" applyNumberFormat="1" applyFont="1" applyFill="1" applyBorder="1" applyAlignment="1">
      <alignment vertical="center"/>
    </xf>
    <xf numFmtId="206" fontId="23" fillId="26" borderId="349" xfId="0" applyNumberFormat="1" applyFont="1" applyFill="1" applyBorder="1" applyAlignment="1">
      <alignment vertical="center"/>
    </xf>
    <xf numFmtId="208" fontId="23" fillId="25" borderId="333" xfId="0" applyNumberFormat="1" applyFont="1" applyFill="1" applyBorder="1" applyAlignment="1">
      <alignment vertical="center"/>
    </xf>
    <xf numFmtId="209" fontId="23" fillId="26" borderId="346" xfId="0" applyNumberFormat="1" applyFont="1" applyFill="1" applyBorder="1" applyAlignment="1">
      <alignment vertical="center"/>
    </xf>
    <xf numFmtId="210" fontId="23" fillId="27" borderId="340" xfId="0" applyNumberFormat="1" applyFont="1" applyFill="1" applyBorder="1" applyAlignment="1">
      <alignment vertical="center"/>
    </xf>
    <xf numFmtId="211" fontId="23" fillId="25" borderId="333" xfId="0" applyNumberFormat="1" applyFont="1" applyFill="1" applyBorder="1" applyAlignment="1">
      <alignment vertical="center"/>
    </xf>
    <xf numFmtId="212" fontId="23" fillId="26" borderId="346" xfId="0" applyNumberFormat="1" applyFont="1" applyFill="1" applyBorder="1" applyAlignment="1">
      <alignment vertical="center"/>
    </xf>
    <xf numFmtId="213" fontId="23" fillId="27" borderId="340" xfId="0" applyNumberFormat="1" applyFont="1" applyFill="1" applyBorder="1" applyAlignment="1">
      <alignment vertical="center"/>
    </xf>
    <xf numFmtId="214" fontId="23" fillId="25" borderId="333" xfId="0" applyNumberFormat="1" applyFont="1" applyFill="1" applyBorder="1" applyAlignment="1">
      <alignment vertical="center"/>
    </xf>
    <xf numFmtId="0" fontId="65" fillId="5" borderId="350" xfId="0" applyFont="1" applyFill="1" applyBorder="1" applyAlignment="1">
      <alignment horizontal="center" vertical="center"/>
    </xf>
    <xf numFmtId="215" fontId="23" fillId="25" borderId="333" xfId="0" applyNumberFormat="1" applyFont="1" applyFill="1" applyBorder="1" applyAlignment="1">
      <alignment vertical="center"/>
    </xf>
    <xf numFmtId="216" fontId="23" fillId="26" borderId="346" xfId="0" applyNumberFormat="1" applyFont="1" applyFill="1" applyBorder="1" applyAlignment="1">
      <alignment vertical="center"/>
    </xf>
    <xf numFmtId="217" fontId="23" fillId="27" borderId="340" xfId="0" applyNumberFormat="1" applyFont="1" applyFill="1" applyBorder="1" applyAlignment="1">
      <alignment vertical="center"/>
    </xf>
    <xf numFmtId="218" fontId="23" fillId="25" borderId="333" xfId="0" applyNumberFormat="1" applyFont="1" applyFill="1" applyBorder="1" applyAlignment="1">
      <alignment vertical="center"/>
    </xf>
    <xf numFmtId="219" fontId="23" fillId="25" borderId="333" xfId="0" applyNumberFormat="1" applyFont="1" applyFill="1" applyBorder="1" applyAlignment="1">
      <alignment vertical="center"/>
    </xf>
    <xf numFmtId="220" fontId="23" fillId="26" borderId="346" xfId="0" applyNumberFormat="1" applyFont="1" applyFill="1" applyBorder="1" applyAlignment="1">
      <alignment vertical="center"/>
    </xf>
    <xf numFmtId="221" fontId="23" fillId="27" borderId="340" xfId="0" applyNumberFormat="1" applyFont="1" applyFill="1" applyBorder="1" applyAlignment="1">
      <alignment vertical="center"/>
    </xf>
    <xf numFmtId="222" fontId="23" fillId="26" borderId="346" xfId="0" applyNumberFormat="1" applyFont="1" applyFill="1" applyBorder="1" applyAlignment="1">
      <alignment vertical="center"/>
    </xf>
    <xf numFmtId="223" fontId="23" fillId="25" borderId="332" xfId="0" applyNumberFormat="1" applyFont="1" applyFill="1" applyBorder="1" applyAlignment="1">
      <alignment horizontal="left" vertical="center"/>
    </xf>
    <xf numFmtId="224" fontId="23" fillId="26" borderId="346" xfId="0" applyNumberFormat="1" applyFont="1" applyFill="1" applyBorder="1" applyAlignment="1">
      <alignment vertical="center"/>
    </xf>
    <xf numFmtId="225" fontId="23" fillId="27" borderId="339" xfId="0" applyNumberFormat="1" applyFont="1" applyFill="1" applyBorder="1" applyAlignment="1">
      <alignment vertical="center"/>
    </xf>
    <xf numFmtId="226" fontId="23" fillId="25" borderId="332" xfId="0" applyNumberFormat="1" applyFont="1" applyFill="1" applyBorder="1" applyAlignment="1">
      <alignment horizontal="left" vertical="center"/>
    </xf>
    <xf numFmtId="227" fontId="23" fillId="26" borderId="346" xfId="0" applyNumberFormat="1" applyFont="1" applyFill="1" applyBorder="1" applyAlignment="1">
      <alignment vertical="center"/>
    </xf>
    <xf numFmtId="228" fontId="23" fillId="27" borderId="339" xfId="0" applyNumberFormat="1" applyFont="1" applyFill="1" applyBorder="1" applyAlignment="1">
      <alignment vertical="center"/>
    </xf>
    <xf numFmtId="229" fontId="23" fillId="25" borderId="332" xfId="0" applyNumberFormat="1" applyFont="1" applyFill="1" applyBorder="1" applyAlignment="1">
      <alignment horizontal="left" vertical="center"/>
    </xf>
    <xf numFmtId="231" fontId="23" fillId="27" borderId="339" xfId="0" applyNumberFormat="1" applyFont="1" applyFill="1" applyBorder="1" applyAlignment="1">
      <alignment vertical="center"/>
    </xf>
    <xf numFmtId="230" fontId="23" fillId="25" borderId="351" xfId="0" applyNumberFormat="1" applyFont="1" applyFill="1" applyBorder="1" applyAlignment="1">
      <alignment vertical="center"/>
    </xf>
    <xf numFmtId="232" fontId="23" fillId="25" borderId="332" xfId="0" applyNumberFormat="1" applyFont="1" applyFill="1" applyBorder="1" applyAlignment="1">
      <alignment horizontal="left" vertical="center"/>
    </xf>
    <xf numFmtId="233" fontId="23" fillId="25" borderId="354" xfId="0" applyNumberFormat="1" applyFont="1" applyFill="1" applyBorder="1" applyAlignment="1">
      <alignment horizontal="left" vertical="center"/>
    </xf>
    <xf numFmtId="234" fontId="23" fillId="25" borderId="336" xfId="0" applyNumberFormat="1" applyFont="1" applyFill="1" applyBorder="1" applyAlignment="1">
      <alignment vertical="center"/>
    </xf>
    <xf numFmtId="235" fontId="23" fillId="25" borderId="357" xfId="0" applyNumberFormat="1" applyFont="1" applyFill="1" applyBorder="1" applyAlignment="1">
      <alignment vertical="center"/>
    </xf>
    <xf numFmtId="236" fontId="23" fillId="26" borderId="346" xfId="0" applyNumberFormat="1" applyFont="1" applyFill="1" applyBorder="1" applyAlignment="1">
      <alignment vertical="center"/>
    </xf>
    <xf numFmtId="237" fontId="23" fillId="26" borderId="346" xfId="0" applyNumberFormat="1" applyFont="1" applyFill="1" applyBorder="1" applyAlignment="1">
      <alignment vertical="center"/>
    </xf>
    <xf numFmtId="238" fontId="23" fillId="26" borderId="348" xfId="0" applyNumberFormat="1" applyFont="1" applyFill="1" applyBorder="1" applyAlignment="1">
      <alignment vertical="center"/>
    </xf>
    <xf numFmtId="239" fontId="23" fillId="26" borderId="358" xfId="0" applyNumberFormat="1" applyFont="1" applyFill="1" applyBorder="1" applyAlignment="1">
      <alignment vertical="center"/>
    </xf>
    <xf numFmtId="240" fontId="23" fillId="27" borderId="355" xfId="0" applyNumberFormat="1" applyFont="1" applyFill="1" applyBorder="1" applyAlignment="1">
      <alignment vertical="center"/>
    </xf>
    <xf numFmtId="241" fontId="23" fillId="27" borderId="356" xfId="0" applyNumberFormat="1" applyFont="1" applyFill="1" applyBorder="1" applyAlignment="1">
      <alignment vertical="center"/>
    </xf>
    <xf numFmtId="242" fontId="23" fillId="27" borderId="359" xfId="0" applyNumberFormat="1" applyFont="1" applyFill="1" applyBorder="1" applyAlignment="1">
      <alignment vertical="center"/>
    </xf>
    <xf numFmtId="243" fontId="23" fillId="27" borderId="360" xfId="0" applyNumberFormat="1" applyFont="1" applyFill="1" applyBorder="1" applyAlignment="1">
      <alignment vertical="center"/>
    </xf>
    <xf numFmtId="244" fontId="23" fillId="27" borderId="353" xfId="0" applyNumberFormat="1" applyFont="1" applyFill="1" applyBorder="1" applyAlignment="1">
      <alignment vertical="center"/>
    </xf>
    <xf numFmtId="245" fontId="23" fillId="26" borderId="352" xfId="0" applyNumberFormat="1" applyFont="1" applyFill="1" applyBorder="1" applyAlignment="1">
      <alignment vertical="center"/>
    </xf>
    <xf numFmtId="246" fontId="23" fillId="26" borderId="346" xfId="0" applyNumberFormat="1" applyFont="1" applyFill="1" applyBorder="1" applyAlignment="1">
      <alignment vertical="center"/>
    </xf>
    <xf numFmtId="249" fontId="23" fillId="25" borderId="354" xfId="0" applyNumberFormat="1" applyFont="1" applyFill="1" applyBorder="1" applyAlignment="1">
      <alignment horizontal="left" vertical="center"/>
    </xf>
    <xf numFmtId="250" fontId="23" fillId="26" borderId="346" xfId="0" applyNumberFormat="1" applyFont="1" applyFill="1" applyBorder="1" applyAlignment="1">
      <alignment vertical="center"/>
    </xf>
    <xf numFmtId="251" fontId="23" fillId="27" borderId="356" xfId="0" applyNumberFormat="1" applyFont="1" applyFill="1" applyBorder="1" applyAlignment="1">
      <alignment vertical="center"/>
    </xf>
    <xf numFmtId="247" fontId="23" fillId="25" borderId="351" xfId="0" applyNumberFormat="1" applyFont="1" applyFill="1" applyBorder="1" applyAlignment="1">
      <alignment vertical="center"/>
    </xf>
    <xf numFmtId="248" fontId="23" fillId="26" borderId="352" xfId="0" applyNumberFormat="1" applyFont="1" applyFill="1" applyBorder="1" applyAlignment="1">
      <alignment vertical="center"/>
    </xf>
    <xf numFmtId="252" fontId="23" fillId="27" borderId="361" xfId="0" applyNumberFormat="1" applyFont="1" applyFill="1" applyBorder="1" applyAlignment="1">
      <alignment vertical="center"/>
    </xf>
    <xf numFmtId="253" fontId="23" fillId="25" borderId="332" xfId="0" applyNumberFormat="1" applyFont="1" applyFill="1" applyBorder="1" applyAlignment="1">
      <alignment horizontal="left" vertical="center"/>
    </xf>
    <xf numFmtId="254" fontId="23" fillId="25" borderId="354" xfId="0" applyNumberFormat="1" applyFont="1" applyFill="1" applyBorder="1" applyAlignment="1">
      <alignment horizontal="left" vertical="center"/>
    </xf>
    <xf numFmtId="255" fontId="23" fillId="25" borderId="336" xfId="0" applyNumberFormat="1" applyFont="1" applyFill="1" applyBorder="1" applyAlignment="1">
      <alignment vertical="center"/>
    </xf>
    <xf numFmtId="256" fontId="23" fillId="25" borderId="357" xfId="0" applyNumberFormat="1" applyFont="1" applyFill="1" applyBorder="1" applyAlignment="1">
      <alignment vertical="center"/>
    </xf>
    <xf numFmtId="257" fontId="23" fillId="26" borderId="358" xfId="0" applyNumberFormat="1" applyFont="1" applyFill="1" applyBorder="1" applyAlignment="1">
      <alignment vertical="center"/>
    </xf>
    <xf numFmtId="258" fontId="23" fillId="26" borderId="358" xfId="0" applyNumberFormat="1" applyFont="1" applyFill="1" applyBorder="1" applyAlignment="1">
      <alignment vertical="center"/>
    </xf>
    <xf numFmtId="259" fontId="23" fillId="26" borderId="346" xfId="0" applyNumberFormat="1" applyFont="1" applyFill="1" applyBorder="1" applyAlignment="1">
      <alignment vertical="center"/>
    </xf>
    <xf numFmtId="260" fontId="23" fillId="26" borderId="346" xfId="0" applyNumberFormat="1" applyFont="1" applyFill="1" applyBorder="1" applyAlignment="1">
      <alignment vertical="center"/>
    </xf>
    <xf numFmtId="261" fontId="23" fillId="26" borderId="348" xfId="0" applyNumberFormat="1" applyFont="1" applyFill="1" applyBorder="1" applyAlignment="1">
      <alignment vertical="center"/>
    </xf>
    <xf numFmtId="262" fontId="23" fillId="27" borderId="355" xfId="0" applyNumberFormat="1" applyFont="1" applyFill="1" applyBorder="1" applyAlignment="1">
      <alignment vertical="center"/>
    </xf>
    <xf numFmtId="263" fontId="23" fillId="27" borderId="356" xfId="0" applyNumberFormat="1" applyFont="1" applyFill="1" applyBorder="1" applyAlignment="1">
      <alignment vertical="center"/>
    </xf>
    <xf numFmtId="264" fontId="23" fillId="27" borderId="359" xfId="0" applyNumberFormat="1" applyFont="1" applyFill="1" applyBorder="1" applyAlignment="1">
      <alignment vertical="center"/>
    </xf>
    <xf numFmtId="265" fontId="23" fillId="27" borderId="360" xfId="0" applyNumberFormat="1" applyFont="1" applyFill="1" applyBorder="1" applyAlignment="1">
      <alignment vertical="center"/>
    </xf>
    <xf numFmtId="266" fontId="23" fillId="26" borderId="346" xfId="0" applyNumberFormat="1" applyFont="1" applyFill="1" applyBorder="1" applyAlignment="1">
      <alignment vertical="center"/>
    </xf>
    <xf numFmtId="267" fontId="23" fillId="26" borderId="348" xfId="0" applyNumberFormat="1" applyFont="1" applyFill="1" applyBorder="1" applyAlignment="1">
      <alignment vertical="center"/>
    </xf>
    <xf numFmtId="268" fontId="23" fillId="27" borderId="356" xfId="0" applyNumberFormat="1" applyFont="1" applyFill="1" applyBorder="1" applyAlignment="1">
      <alignment vertical="center"/>
    </xf>
    <xf numFmtId="269" fontId="23" fillId="25" borderId="354" xfId="0" applyNumberFormat="1" applyFont="1" applyFill="1" applyBorder="1" applyAlignment="1">
      <alignment horizontal="left" vertical="center"/>
    </xf>
    <xf numFmtId="270" fontId="23" fillId="25" borderId="336" xfId="0" applyNumberFormat="1" applyFont="1" applyFill="1" applyBorder="1" applyAlignment="1">
      <alignment vertical="center"/>
    </xf>
    <xf numFmtId="177" fontId="23" fillId="25" borderId="30" xfId="0" applyNumberFormat="1" applyFont="1" applyFill="1" applyBorder="1" applyAlignment="1">
      <alignment horizontal="left" vertical="center"/>
    </xf>
    <xf numFmtId="180" fontId="23" fillId="25" borderId="362" xfId="0" applyNumberFormat="1" applyFont="1" applyFill="1" applyBorder="1" applyAlignment="1">
      <alignment horizontal="left" vertical="center"/>
    </xf>
    <xf numFmtId="183" fontId="23" fillId="25" borderId="362" xfId="0" applyNumberFormat="1" applyFont="1" applyFill="1" applyBorder="1" applyAlignment="1">
      <alignment vertical="center"/>
    </xf>
    <xf numFmtId="186" fontId="23" fillId="25" borderId="362" xfId="0" applyNumberFormat="1" applyFont="1" applyFill="1" applyBorder="1" applyAlignment="1">
      <alignment vertical="center"/>
    </xf>
    <xf numFmtId="189" fontId="23" fillId="25" borderId="362" xfId="0" applyNumberFormat="1" applyFont="1" applyFill="1" applyBorder="1" applyAlignment="1">
      <alignment vertical="center"/>
    </xf>
    <xf numFmtId="192" fontId="23" fillId="25" borderId="362" xfId="0" applyNumberFormat="1" applyFont="1" applyFill="1" applyBorder="1" applyAlignment="1">
      <alignment vertical="center"/>
    </xf>
    <xf numFmtId="214" fontId="23" fillId="25" borderId="362" xfId="0" applyNumberFormat="1" applyFont="1" applyFill="1" applyBorder="1" applyAlignment="1">
      <alignment vertical="center"/>
    </xf>
    <xf numFmtId="196" fontId="23" fillId="25" borderId="115" xfId="0" applyNumberFormat="1" applyFont="1" applyFill="1" applyBorder="1" applyAlignment="1">
      <alignment vertical="center"/>
    </xf>
    <xf numFmtId="199" fontId="23" fillId="25" borderId="363" xfId="0" applyNumberFormat="1" applyFont="1" applyFill="1" applyBorder="1" applyAlignment="1">
      <alignment vertical="center"/>
    </xf>
    <xf numFmtId="202" fontId="23" fillId="25" borderId="364" xfId="0" applyNumberFormat="1" applyFont="1" applyFill="1" applyBorder="1" applyAlignment="1">
      <alignment vertical="center"/>
    </xf>
    <xf numFmtId="205" fontId="23" fillId="25" borderId="31" xfId="0" applyNumberFormat="1" applyFont="1" applyFill="1" applyBorder="1" applyAlignment="1">
      <alignment vertical="center"/>
    </xf>
    <xf numFmtId="179" fontId="23" fillId="27" borderId="365" xfId="0" applyNumberFormat="1" applyFont="1" applyFill="1" applyBorder="1" applyAlignment="1">
      <alignment vertical="center"/>
    </xf>
    <xf numFmtId="182" fontId="23" fillId="27" borderId="366" xfId="0" applyNumberFormat="1" applyFont="1" applyFill="1" applyBorder="1" applyAlignment="1">
      <alignment vertical="center"/>
    </xf>
    <xf numFmtId="185" fontId="23" fillId="27" borderId="366" xfId="0" applyNumberFormat="1" applyFont="1" applyFill="1" applyBorder="1" applyAlignment="1">
      <alignment vertical="center"/>
    </xf>
    <xf numFmtId="188" fontId="23" fillId="27" borderId="366" xfId="0" applyNumberFormat="1" applyFont="1" applyFill="1" applyBorder="1" applyAlignment="1">
      <alignment vertical="center"/>
    </xf>
    <xf numFmtId="191" fontId="23" fillId="27" borderId="366" xfId="0" applyNumberFormat="1" applyFont="1" applyFill="1" applyBorder="1" applyAlignment="1">
      <alignment vertical="center"/>
    </xf>
    <xf numFmtId="194" fontId="23" fillId="27" borderId="366" xfId="0" applyNumberFormat="1" applyFont="1" applyFill="1" applyBorder="1" applyAlignment="1">
      <alignment vertical="center"/>
    </xf>
    <xf numFmtId="213" fontId="23" fillId="27" borderId="366" xfId="0" applyNumberFormat="1" applyFont="1" applyFill="1" applyBorder="1" applyAlignment="1">
      <alignment vertical="center"/>
    </xf>
    <xf numFmtId="198" fontId="23" fillId="27" borderId="367" xfId="0" applyNumberFormat="1" applyFont="1" applyFill="1" applyBorder="1" applyAlignment="1">
      <alignment vertical="center"/>
    </xf>
    <xf numFmtId="201" fontId="23" fillId="27" borderId="368" xfId="0" applyNumberFormat="1" applyFont="1" applyFill="1" applyBorder="1" applyAlignment="1">
      <alignment vertical="center"/>
    </xf>
    <xf numFmtId="204" fontId="23" fillId="27" borderId="369" xfId="0" applyNumberFormat="1" applyFont="1" applyFill="1" applyBorder="1" applyAlignment="1">
      <alignment vertical="center"/>
    </xf>
    <xf numFmtId="207" fontId="23" fillId="27" borderId="370" xfId="0" applyNumberFormat="1" applyFont="1" applyFill="1" applyBorder="1" applyAlignment="1">
      <alignment vertical="center"/>
    </xf>
    <xf numFmtId="3" fontId="199" fillId="0" borderId="0" xfId="0" applyNumberFormat="1" applyFont="1" applyAlignment="1">
      <alignment horizontal="center" vertical="center"/>
    </xf>
    <xf numFmtId="0" fontId="200" fillId="0" borderId="0" xfId="0" applyFont="1" applyAlignment="1">
      <alignment horizontal="right" vertical="center"/>
    </xf>
    <xf numFmtId="0" fontId="65" fillId="6" borderId="371" xfId="0" quotePrefix="1" applyFont="1" applyFill="1" applyBorder="1" applyAlignment="1">
      <alignment horizontal="center" vertical="center"/>
    </xf>
    <xf numFmtId="178" fontId="23" fillId="26" borderId="372" xfId="0" applyNumberFormat="1" applyFont="1" applyFill="1" applyBorder="1" applyAlignment="1">
      <alignment vertical="center"/>
    </xf>
    <xf numFmtId="181" fontId="23" fillId="26" borderId="373" xfId="0" applyNumberFormat="1" applyFont="1" applyFill="1" applyBorder="1" applyAlignment="1">
      <alignment vertical="center"/>
    </xf>
    <xf numFmtId="184" fontId="23" fillId="26" borderId="373" xfId="0" applyNumberFormat="1" applyFont="1" applyFill="1" applyBorder="1" applyAlignment="1">
      <alignment vertical="center"/>
    </xf>
    <xf numFmtId="187" fontId="23" fillId="26" borderId="373" xfId="0" applyNumberFormat="1" applyFont="1" applyFill="1" applyBorder="1" applyAlignment="1">
      <alignment vertical="center"/>
    </xf>
    <xf numFmtId="190" fontId="23" fillId="26" borderId="373" xfId="0" applyNumberFormat="1" applyFont="1" applyFill="1" applyBorder="1" applyAlignment="1">
      <alignment vertical="center"/>
    </xf>
    <xf numFmtId="193" fontId="23" fillId="26" borderId="373" xfId="0" applyNumberFormat="1" applyFont="1" applyFill="1" applyBorder="1" applyAlignment="1">
      <alignment vertical="center"/>
    </xf>
    <xf numFmtId="195" fontId="23" fillId="26" borderId="373" xfId="0" applyNumberFormat="1" applyFont="1" applyFill="1" applyBorder="1" applyAlignment="1">
      <alignment vertical="center"/>
    </xf>
    <xf numFmtId="197" fontId="23" fillId="26" borderId="374" xfId="0" applyNumberFormat="1" applyFont="1" applyFill="1" applyBorder="1" applyAlignment="1">
      <alignment vertical="center"/>
    </xf>
    <xf numFmtId="200" fontId="23" fillId="26" borderId="375" xfId="0" applyNumberFormat="1" applyFont="1" applyFill="1" applyBorder="1" applyAlignment="1">
      <alignment vertical="center"/>
    </xf>
    <xf numFmtId="203" fontId="23" fillId="26" borderId="376" xfId="0" applyNumberFormat="1" applyFont="1" applyFill="1" applyBorder="1" applyAlignment="1">
      <alignment vertical="center"/>
    </xf>
    <xf numFmtId="206" fontId="23" fillId="26" borderId="377" xfId="0" applyNumberFormat="1" applyFont="1" applyFill="1" applyBorder="1" applyAlignment="1">
      <alignment vertical="center"/>
    </xf>
    <xf numFmtId="0" fontId="65" fillId="7" borderId="40" xfId="0" quotePrefix="1" applyFont="1" applyFill="1" applyBorder="1" applyAlignment="1">
      <alignment horizontal="center" vertical="center"/>
    </xf>
    <xf numFmtId="0" fontId="18" fillId="7" borderId="338" xfId="0" applyFont="1" applyFill="1" applyBorder="1" applyAlignment="1">
      <alignment horizontal="center" vertical="center"/>
    </xf>
    <xf numFmtId="177" fontId="23" fillId="25" borderId="345" xfId="0" applyNumberFormat="1" applyFont="1" applyFill="1" applyBorder="1" applyAlignment="1">
      <alignment horizontal="left" vertical="center"/>
    </xf>
    <xf numFmtId="180" fontId="23" fillId="25" borderId="346" xfId="0" applyNumberFormat="1" applyFont="1" applyFill="1" applyBorder="1" applyAlignment="1">
      <alignment horizontal="left" vertical="center"/>
    </xf>
    <xf numFmtId="183" fontId="23" fillId="25" borderId="346" xfId="0" applyNumberFormat="1" applyFont="1" applyFill="1" applyBorder="1" applyAlignment="1">
      <alignment vertical="center"/>
    </xf>
    <xf numFmtId="186" fontId="23" fillId="25" borderId="346" xfId="0" applyNumberFormat="1" applyFont="1" applyFill="1" applyBorder="1" applyAlignment="1">
      <alignment vertical="center"/>
    </xf>
    <xf numFmtId="189" fontId="23" fillId="25" borderId="346" xfId="0" applyNumberFormat="1" applyFont="1" applyFill="1" applyBorder="1" applyAlignment="1">
      <alignment vertical="center"/>
    </xf>
    <xf numFmtId="192" fontId="23" fillId="25" borderId="346" xfId="0" applyNumberFormat="1" applyFont="1" applyFill="1" applyBorder="1" applyAlignment="1">
      <alignment vertical="center"/>
    </xf>
    <xf numFmtId="214" fontId="23" fillId="25" borderId="346" xfId="0" applyNumberFormat="1" applyFont="1" applyFill="1" applyBorder="1" applyAlignment="1">
      <alignment vertical="center"/>
    </xf>
    <xf numFmtId="196" fontId="23" fillId="25" borderId="14" xfId="0" applyNumberFormat="1" applyFont="1" applyFill="1" applyBorder="1" applyAlignment="1">
      <alignment vertical="center"/>
    </xf>
    <xf numFmtId="199" fontId="23" fillId="25" borderId="347" xfId="0" applyNumberFormat="1" applyFont="1" applyFill="1" applyBorder="1" applyAlignment="1">
      <alignment vertical="center"/>
    </xf>
    <xf numFmtId="202" fontId="23" fillId="25" borderId="348" xfId="0" applyNumberFormat="1" applyFont="1" applyFill="1" applyBorder="1" applyAlignment="1">
      <alignment vertical="center"/>
    </xf>
    <xf numFmtId="205" fontId="23" fillId="25" borderId="349" xfId="0" applyNumberFormat="1" applyFont="1" applyFill="1" applyBorder="1" applyAlignment="1">
      <alignment vertical="center"/>
    </xf>
    <xf numFmtId="271" fontId="23" fillId="25" borderId="125" xfId="0" applyNumberFormat="1" applyFont="1" applyFill="1" applyBorder="1" applyAlignment="1">
      <alignment horizontal="left" vertical="center"/>
    </xf>
    <xf numFmtId="272" fontId="23" fillId="25" borderId="378" xfId="0" applyNumberFormat="1" applyFont="1" applyFill="1" applyBorder="1" applyAlignment="1">
      <alignment horizontal="left" vertical="center"/>
    </xf>
    <xf numFmtId="273" fontId="23" fillId="25" borderId="378" xfId="0" applyNumberFormat="1" applyFont="1" applyFill="1" applyBorder="1" applyAlignment="1">
      <alignment vertical="center"/>
    </xf>
    <xf numFmtId="274" fontId="23" fillId="25" borderId="378" xfId="0" applyNumberFormat="1" applyFont="1" applyFill="1" applyBorder="1" applyAlignment="1">
      <alignment vertical="center"/>
    </xf>
    <xf numFmtId="275" fontId="23" fillId="25" borderId="378" xfId="0" applyNumberFormat="1" applyFont="1" applyFill="1" applyBorder="1" applyAlignment="1">
      <alignment vertical="center"/>
    </xf>
    <xf numFmtId="276" fontId="23" fillId="25" borderId="378" xfId="0" applyNumberFormat="1" applyFont="1" applyFill="1" applyBorder="1" applyAlignment="1">
      <alignment vertical="center"/>
    </xf>
    <xf numFmtId="277" fontId="23" fillId="25" borderId="378" xfId="0" applyNumberFormat="1" applyFont="1" applyFill="1" applyBorder="1" applyAlignment="1">
      <alignment vertical="center"/>
    </xf>
    <xf numFmtId="278" fontId="23" fillId="25" borderId="126" xfId="0" applyNumberFormat="1" applyFont="1" applyFill="1" applyBorder="1" applyAlignment="1">
      <alignment vertical="center"/>
    </xf>
    <xf numFmtId="279" fontId="23" fillId="25" borderId="379" xfId="0" applyNumberFormat="1" applyFont="1" applyFill="1" applyBorder="1" applyAlignment="1">
      <alignment vertical="center"/>
    </xf>
    <xf numFmtId="280" fontId="23" fillId="25" borderId="380" xfId="0" applyNumberFormat="1" applyFont="1" applyFill="1" applyBorder="1" applyAlignment="1">
      <alignment vertical="center"/>
    </xf>
    <xf numFmtId="281" fontId="23" fillId="25" borderId="381" xfId="0" applyNumberFormat="1" applyFont="1" applyFill="1" applyBorder="1" applyAlignment="1">
      <alignment vertical="center"/>
    </xf>
    <xf numFmtId="171" fontId="201" fillId="0" borderId="63" xfId="0" applyNumberFormat="1" applyFont="1" applyBorder="1" applyAlignment="1">
      <alignment horizontal="center" vertical="center" wrapText="1"/>
    </xf>
    <xf numFmtId="172" fontId="201" fillId="0" borderId="64" xfId="0" applyNumberFormat="1" applyFont="1" applyBorder="1" applyAlignment="1">
      <alignment horizontal="center" vertical="center" wrapText="1"/>
    </xf>
    <xf numFmtId="172" fontId="201" fillId="0" borderId="65" xfId="0" applyNumberFormat="1" applyFont="1" applyBorder="1" applyAlignment="1">
      <alignment horizontal="center" vertical="center" wrapText="1"/>
    </xf>
    <xf numFmtId="0" fontId="182" fillId="4" borderId="273" xfId="0" applyFont="1" applyFill="1" applyBorder="1" applyAlignment="1">
      <alignment horizontal="center" vertical="center" wrapText="1"/>
    </xf>
    <xf numFmtId="0" fontId="122" fillId="0" borderId="0" xfId="0" applyFont="1" applyAlignment="1">
      <alignment horizontal="center" vertical="center" wrapText="1"/>
    </xf>
    <xf numFmtId="0" fontId="150" fillId="4" borderId="241" xfId="0" applyFont="1" applyFill="1" applyBorder="1" applyAlignment="1">
      <alignment horizontal="center" vertical="center" wrapText="1"/>
    </xf>
    <xf numFmtId="0" fontId="150" fillId="4" borderId="242" xfId="0" applyFont="1" applyFill="1" applyBorder="1" applyAlignment="1">
      <alignment horizontal="center" vertical="center" wrapText="1"/>
    </xf>
    <xf numFmtId="0" fontId="150" fillId="4" borderId="241" xfId="0" applyFont="1" applyFill="1" applyBorder="1" applyAlignment="1">
      <alignment horizontal="center" vertical="center"/>
    </xf>
    <xf numFmtId="0" fontId="150" fillId="4" borderId="242" xfId="0" applyFont="1" applyFill="1" applyBorder="1" applyAlignment="1">
      <alignment horizontal="center" vertical="center"/>
    </xf>
    <xf numFmtId="0" fontId="146" fillId="0" borderId="170" xfId="0" applyFont="1" applyBorder="1" applyAlignment="1">
      <alignment horizontal="center" vertical="center"/>
    </xf>
    <xf numFmtId="0" fontId="146" fillId="0" borderId="232" xfId="0" applyFont="1" applyBorder="1" applyAlignment="1">
      <alignment horizontal="center" vertical="center"/>
    </xf>
    <xf numFmtId="0" fontId="146" fillId="0" borderId="233" xfId="0" applyFont="1" applyBorder="1" applyAlignment="1">
      <alignment horizontal="center" vertical="center"/>
    </xf>
    <xf numFmtId="0" fontId="146" fillId="0" borderId="0" xfId="0" applyFont="1" applyAlignment="1">
      <alignment horizontal="center" vertical="center"/>
    </xf>
    <xf numFmtId="0" fontId="146" fillId="0" borderId="234" xfId="0" applyFont="1" applyBorder="1" applyAlignment="1">
      <alignment horizontal="center" vertical="center"/>
    </xf>
    <xf numFmtId="0" fontId="146" fillId="4" borderId="235" xfId="0" applyFont="1" applyFill="1" applyBorder="1" applyAlignment="1">
      <alignment horizontal="center" vertical="center"/>
    </xf>
    <xf numFmtId="0" fontId="146" fillId="4" borderId="0" xfId="0" applyFont="1" applyFill="1" applyAlignment="1">
      <alignment horizontal="center" vertical="center"/>
    </xf>
    <xf numFmtId="0" fontId="146" fillId="4" borderId="234" xfId="0" applyFont="1" applyFill="1" applyBorder="1" applyAlignment="1">
      <alignment horizontal="center" vertical="center"/>
    </xf>
    <xf numFmtId="0" fontId="146" fillId="0" borderId="235" xfId="0" applyFont="1" applyBorder="1" applyAlignment="1">
      <alignment horizontal="center" vertical="center"/>
    </xf>
    <xf numFmtId="0" fontId="145" fillId="4" borderId="235" xfId="0" applyFont="1" applyFill="1" applyBorder="1" applyAlignment="1">
      <alignment horizontal="center" vertical="center"/>
    </xf>
    <xf numFmtId="0" fontId="145" fillId="4" borderId="0" xfId="0" applyFont="1" applyFill="1" applyAlignment="1">
      <alignment horizontal="center" vertical="center"/>
    </xf>
    <xf numFmtId="0" fontId="145" fillId="4" borderId="234" xfId="0" applyFont="1" applyFill="1" applyBorder="1" applyAlignment="1">
      <alignment horizontal="center" vertical="center"/>
    </xf>
    <xf numFmtId="0" fontId="145" fillId="0" borderId="233" xfId="0" applyFont="1" applyBorder="1" applyAlignment="1">
      <alignment horizontal="center" vertical="center"/>
    </xf>
    <xf numFmtId="0" fontId="145" fillId="0" borderId="0" xfId="0" applyFont="1" applyAlignment="1">
      <alignment horizontal="center" vertical="center"/>
    </xf>
    <xf numFmtId="0" fontId="145" fillId="0" borderId="234" xfId="0" applyFont="1" applyBorder="1" applyAlignment="1">
      <alignment horizontal="center" vertical="center"/>
    </xf>
    <xf numFmtId="0" fontId="145" fillId="0" borderId="232" xfId="0" applyFont="1" applyBorder="1" applyAlignment="1">
      <alignment horizontal="center" vertical="center"/>
    </xf>
    <xf numFmtId="0" fontId="145" fillId="0" borderId="235" xfId="0" applyFont="1" applyBorder="1" applyAlignment="1">
      <alignment horizontal="center" vertical="center"/>
    </xf>
    <xf numFmtId="3" fontId="139" fillId="0" borderId="254" xfId="1" applyNumberFormat="1" applyFont="1" applyBorder="1" applyAlignment="1">
      <alignment horizontal="center" vertical="top"/>
    </xf>
    <xf numFmtId="3" fontId="139" fillId="0" borderId="255" xfId="1" applyNumberFormat="1" applyFont="1" applyBorder="1" applyAlignment="1">
      <alignment horizontal="center" vertical="top"/>
    </xf>
    <xf numFmtId="3" fontId="138" fillId="4" borderId="256" xfId="1" applyNumberFormat="1" applyFont="1" applyFill="1" applyBorder="1" applyAlignment="1">
      <alignment horizontal="center" vertical="top"/>
    </xf>
    <xf numFmtId="3" fontId="138" fillId="4" borderId="255" xfId="1" applyNumberFormat="1" applyFont="1" applyFill="1" applyBorder="1" applyAlignment="1">
      <alignment horizontal="center" vertical="top"/>
    </xf>
    <xf numFmtId="3" fontId="138" fillId="4" borderId="257" xfId="1" applyNumberFormat="1" applyFont="1" applyFill="1" applyBorder="1" applyAlignment="1">
      <alignment horizontal="center" vertical="top"/>
    </xf>
    <xf numFmtId="3" fontId="139" fillId="0" borderId="253" xfId="1" applyNumberFormat="1" applyFont="1" applyBorder="1" applyAlignment="1">
      <alignment horizontal="center" vertical="top"/>
    </xf>
    <xf numFmtId="0" fontId="126" fillId="0" borderId="168" xfId="0" applyFont="1" applyBorder="1" applyAlignment="1">
      <alignment horizontal="center" vertical="center" wrapText="1"/>
    </xf>
    <xf numFmtId="0" fontId="126" fillId="0" borderId="159" xfId="0" applyFont="1" applyBorder="1" applyAlignment="1">
      <alignment horizontal="center" vertical="center" wrapText="1"/>
    </xf>
    <xf numFmtId="0" fontId="126" fillId="0" borderId="165" xfId="0" applyFont="1" applyBorder="1" applyAlignment="1">
      <alignment horizontal="center" vertical="center" wrapText="1"/>
    </xf>
    <xf numFmtId="0" fontId="126" fillId="0" borderId="175" xfId="0" applyFont="1" applyBorder="1" applyAlignment="1">
      <alignment horizontal="center" vertical="center" wrapText="1"/>
    </xf>
    <xf numFmtId="0" fontId="126" fillId="4" borderId="201" xfId="0" applyFont="1" applyFill="1" applyBorder="1" applyAlignment="1">
      <alignment horizontal="center" vertical="center" wrapText="1"/>
    </xf>
    <xf numFmtId="0" fontId="126" fillId="4" borderId="202" xfId="0" applyFont="1" applyFill="1" applyBorder="1" applyAlignment="1">
      <alignment horizontal="center" vertical="center" wrapText="1"/>
    </xf>
    <xf numFmtId="0" fontId="126" fillId="4" borderId="203" xfId="0" applyFont="1" applyFill="1" applyBorder="1" applyAlignment="1">
      <alignment horizontal="center" vertical="center" wrapText="1"/>
    </xf>
    <xf numFmtId="0" fontId="126" fillId="0" borderId="176" xfId="0" applyFont="1" applyBorder="1" applyAlignment="1">
      <alignment horizontal="center" vertical="center" wrapText="1"/>
    </xf>
    <xf numFmtId="168" fontId="142" fillId="0" borderId="245" xfId="1" applyNumberFormat="1" applyFont="1" applyBorder="1" applyAlignment="1">
      <alignment horizontal="center" vertical="center"/>
    </xf>
    <xf numFmtId="168" fontId="142" fillId="0" borderId="251" xfId="1" applyNumberFormat="1" applyFont="1" applyBorder="1" applyAlignment="1">
      <alignment horizontal="center" vertical="center"/>
    </xf>
    <xf numFmtId="168" fontId="142" fillId="0" borderId="242" xfId="1" applyNumberFormat="1" applyFont="1" applyBorder="1" applyAlignment="1">
      <alignment horizontal="center" vertical="center"/>
    </xf>
    <xf numFmtId="168" fontId="142" fillId="0" borderId="246" xfId="1" applyNumberFormat="1" applyFont="1" applyBorder="1" applyAlignment="1">
      <alignment horizontal="center" vertical="center"/>
    </xf>
    <xf numFmtId="168" fontId="144" fillId="4" borderId="248" xfId="1" applyNumberFormat="1" applyFont="1" applyFill="1" applyBorder="1" applyAlignment="1">
      <alignment horizontal="center" vertical="center"/>
    </xf>
    <xf numFmtId="168" fontId="144" fillId="4" borderId="249" xfId="1" applyNumberFormat="1" applyFont="1" applyFill="1" applyBorder="1" applyAlignment="1">
      <alignment horizontal="center" vertical="center"/>
    </xf>
    <xf numFmtId="3" fontId="140" fillId="0" borderId="261" xfId="0" applyNumberFormat="1" applyFont="1" applyBorder="1" applyAlignment="1">
      <alignment horizontal="center" vertical="center"/>
    </xf>
    <xf numFmtId="3" fontId="140" fillId="0" borderId="262" xfId="0" applyNumberFormat="1" applyFont="1" applyBorder="1" applyAlignment="1">
      <alignment horizontal="center" vertical="center"/>
    </xf>
    <xf numFmtId="3" fontId="140" fillId="0" borderId="260" xfId="0" applyNumberFormat="1" applyFont="1" applyBorder="1" applyAlignment="1">
      <alignment horizontal="center" vertical="center"/>
    </xf>
    <xf numFmtId="3" fontId="140" fillId="0" borderId="263" xfId="0" applyNumberFormat="1" applyFont="1" applyBorder="1" applyAlignment="1">
      <alignment horizontal="center" vertical="center"/>
    </xf>
    <xf numFmtId="3" fontId="140" fillId="0" borderId="268" xfId="0" applyNumberFormat="1" applyFont="1" applyBorder="1" applyAlignment="1">
      <alignment horizontal="center" vertical="center"/>
    </xf>
    <xf numFmtId="3" fontId="140" fillId="0" borderId="267" xfId="0" applyNumberFormat="1" applyFont="1" applyBorder="1" applyAlignment="1">
      <alignment horizontal="center" vertical="center"/>
    </xf>
    <xf numFmtId="3" fontId="136" fillId="4" borderId="264" xfId="0" applyNumberFormat="1" applyFont="1" applyFill="1" applyBorder="1" applyAlignment="1">
      <alignment horizontal="center" vertical="center"/>
    </xf>
    <xf numFmtId="3" fontId="136" fillId="4" borderId="265" xfId="0" applyNumberFormat="1" applyFont="1" applyFill="1" applyBorder="1" applyAlignment="1">
      <alignment horizontal="center" vertical="center"/>
    </xf>
    <xf numFmtId="3" fontId="136" fillId="4" borderId="266" xfId="0" applyNumberFormat="1" applyFont="1" applyFill="1" applyBorder="1" applyAlignment="1">
      <alignment horizontal="center" vertical="center"/>
    </xf>
    <xf numFmtId="3" fontId="139" fillId="0" borderId="258" xfId="1" applyNumberFormat="1" applyFont="1" applyBorder="1" applyAlignment="1">
      <alignment horizontal="center" vertical="top"/>
    </xf>
    <xf numFmtId="168" fontId="137" fillId="0" borderId="238" xfId="1" applyNumberFormat="1" applyFont="1" applyBorder="1" applyAlignment="1">
      <alignment horizontal="right" vertical="center"/>
    </xf>
    <xf numFmtId="168" fontId="137" fillId="0" borderId="239" xfId="1" applyNumberFormat="1" applyFont="1" applyBorder="1" applyAlignment="1">
      <alignment horizontal="right" vertical="center"/>
    </xf>
    <xf numFmtId="168" fontId="127" fillId="4" borderId="269" xfId="1" applyNumberFormat="1" applyFont="1" applyFill="1" applyBorder="1" applyAlignment="1">
      <alignment horizontal="right" vertical="center"/>
    </xf>
    <xf numFmtId="168" fontId="127" fillId="4" borderId="239" xfId="1" applyNumberFormat="1" applyFont="1" applyFill="1" applyBorder="1" applyAlignment="1">
      <alignment horizontal="right" vertical="center"/>
    </xf>
    <xf numFmtId="168" fontId="127" fillId="4" borderId="270" xfId="1" applyNumberFormat="1" applyFont="1" applyFill="1" applyBorder="1" applyAlignment="1">
      <alignment horizontal="right" vertical="center"/>
    </xf>
    <xf numFmtId="168" fontId="137" fillId="0" borderId="237" xfId="1" applyNumberFormat="1" applyFont="1" applyBorder="1" applyAlignment="1">
      <alignment horizontal="right" vertical="center"/>
    </xf>
    <xf numFmtId="168" fontId="137" fillId="0" borderId="240" xfId="1" applyNumberFormat="1" applyFont="1" applyBorder="1" applyAlignment="1">
      <alignment horizontal="right" vertical="center"/>
    </xf>
    <xf numFmtId="0" fontId="145" fillId="0" borderId="170" xfId="0" applyFont="1" applyBorder="1" applyAlignment="1">
      <alignment horizontal="center" vertical="center"/>
    </xf>
    <xf numFmtId="0" fontId="147" fillId="4" borderId="252" xfId="0" applyFont="1" applyFill="1" applyBorder="1" applyAlignment="1">
      <alignment horizontal="center" vertical="center" wrapText="1"/>
    </xf>
    <xf numFmtId="0" fontId="147" fillId="4" borderId="253" xfId="0" applyFont="1" applyFill="1" applyBorder="1" applyAlignment="1">
      <alignment horizontal="center" vertical="center" wrapText="1"/>
    </xf>
    <xf numFmtId="0" fontId="148" fillId="4" borderId="236" xfId="0" applyFont="1" applyFill="1" applyBorder="1" applyAlignment="1">
      <alignment horizontal="center" vertical="center" wrapText="1"/>
    </xf>
    <xf numFmtId="0" fontId="148" fillId="4" borderId="237" xfId="0" applyFont="1" applyFill="1" applyBorder="1" applyAlignment="1">
      <alignment horizontal="center" vertical="center" wrapText="1"/>
    </xf>
    <xf numFmtId="177" fontId="31" fillId="0" borderId="0" xfId="0" applyNumberFormat="1" applyFont="1" applyAlignment="1">
      <alignment vertical="center"/>
    </xf>
  </cellXfs>
  <cellStyles count="4">
    <cellStyle name="Collegamento ipertestuale" xfId="2" builtinId="8"/>
    <cellStyle name="Migliaia" xfId="3" builtinId="3"/>
    <cellStyle name="Normale" xfId="0" builtinId="0"/>
    <cellStyle name="Percentuale" xfId="1" builtinId="5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E2EFDA"/>
      <color rgb="FFFFF2CC"/>
      <color rgb="FFFCE4D6"/>
      <color rgb="FFFFFBCE"/>
      <color rgb="FFB2FFB2"/>
      <color rgb="FFCD5C5C"/>
      <color rgb="FFFFB19A"/>
      <color rgb="FFFF8C69"/>
      <color rgb="FFFFFF99"/>
      <color rgb="FFFF8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TransMatrix!$G$9</c:f>
              <c:strCache>
                <c:ptCount val="1"/>
                <c:pt idx="0">
                  <c:v> + Operating Assets</c:v>
                </c:pt>
              </c:strCache>
            </c:strRef>
          </c:tx>
          <c:spPr>
            <a:solidFill>
              <a:srgbClr val="F8CBA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b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TransMatrix!$I$9:$N$9</c:f>
              <c:numCache>
                <c:formatCode>#,##0_ ;\-#,##0\ </c:formatCode>
                <c:ptCount val="6"/>
                <c:pt idx="0">
                  <c:v>23750</c:v>
                </c:pt>
                <c:pt idx="1">
                  <c:v>19046.232876712329</c:v>
                </c:pt>
                <c:pt idx="2">
                  <c:v>15350.856164383562</c:v>
                </c:pt>
                <c:pt idx="3">
                  <c:v>11685.941780821917</c:v>
                </c:pt>
                <c:pt idx="4">
                  <c:v>8054.7243150684935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TransMatrix!#REF!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346-4BA8-B4AF-291E6173D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30000"/>
          <c:min val="-10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C67-466A-BA3D-907F39CCEB67}"/>
              </c:ext>
            </c:extLst>
          </c:dPt>
          <c:dPt>
            <c:idx val="1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C67-466A-BA3D-907F39CCEB67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C67-466A-BA3D-907F39CCEB67}"/>
              </c:ext>
            </c:extLst>
          </c:dPt>
          <c:val>
            <c:numRef>
              <c:f>Graphs!$AM$14:$AO$14</c:f>
              <c:numCache>
                <c:formatCode>0.000</c:formatCode>
                <c:ptCount val="3"/>
                <c:pt idx="0" formatCode="0.0%">
                  <c:v>0.18005747948094739</c:v>
                </c:pt>
                <c:pt idx="1">
                  <c:v>0.81994252051905259</c:v>
                </c:pt>
                <c:pt idx="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67-466A-BA3D-907F39CCE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9AC-4A65-BABB-8BCE589A491F}"/>
              </c:ext>
            </c:extLst>
          </c:dPt>
          <c:dPt>
            <c:idx val="1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9AC-4A65-BABB-8BCE589A491F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9AC-4A65-BABB-8BCE589A491F}"/>
              </c:ext>
            </c:extLst>
          </c:dPt>
          <c:val>
            <c:numRef>
              <c:f>Graphs!$AM$15:$AO$15</c:f>
              <c:numCache>
                <c:formatCode>0.000</c:formatCode>
                <c:ptCount val="3"/>
                <c:pt idx="0" formatCode="0.0%">
                  <c:v>0.15896469823861858</c:v>
                </c:pt>
                <c:pt idx="1">
                  <c:v>0.84103530176138142</c:v>
                </c:pt>
                <c:pt idx="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AC-4A65-BABB-8BCE589A4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>
                  <a:lumMod val="75000"/>
                </a:srgbClr>
              </a:solidFill>
              <a:ln w="9525">
                <a:solidFill>
                  <a:srgbClr val="5B9BD5">
                    <a:lumMod val="7500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9AC-4A65-BABB-8BCE589A491F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9525">
                <a:solidFill>
                  <a:srgbClr val="5B9BD5">
                    <a:lumMod val="7500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9AC-4A65-BABB-8BCE589A491F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9AC-4A65-BABB-8BCE589A491F}"/>
              </c:ext>
            </c:extLst>
          </c:dPt>
          <c:val>
            <c:numRef>
              <c:f>Graphs!$AM$20:$AO$20</c:f>
              <c:numCache>
                <c:formatCode>0.000</c:formatCode>
                <c:ptCount val="3"/>
                <c:pt idx="0" formatCode="0.0%">
                  <c:v>1.5169888287941679E-2</c:v>
                </c:pt>
                <c:pt idx="1">
                  <c:v>0.98483011171205836</c:v>
                </c:pt>
                <c:pt idx="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AC-4A65-BABB-8BCE589A4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>
                  <a:lumMod val="75000"/>
                </a:srgbClr>
              </a:solidFill>
              <a:ln w="9525">
                <a:solidFill>
                  <a:srgbClr val="5B9BD5">
                    <a:lumMod val="7500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9AC-4A65-BABB-8BCE589A491F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9525">
                <a:solidFill>
                  <a:srgbClr val="5B9BD5">
                    <a:lumMod val="7500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9AC-4A65-BABB-8BCE589A491F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9AC-4A65-BABB-8BCE589A491F}"/>
              </c:ext>
            </c:extLst>
          </c:dPt>
          <c:val>
            <c:numRef>
              <c:f>Graphs!$AM$19:$AO$19</c:f>
              <c:numCache>
                <c:formatCode>0.000</c:formatCode>
                <c:ptCount val="3"/>
                <c:pt idx="0" formatCode="0.0%">
                  <c:v>0.02</c:v>
                </c:pt>
                <c:pt idx="1">
                  <c:v>0.98</c:v>
                </c:pt>
                <c:pt idx="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AC-4A65-BABB-8BCE589A4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>
                  <a:lumMod val="75000"/>
                </a:srgbClr>
              </a:solidFill>
              <a:ln w="9525">
                <a:solidFill>
                  <a:srgbClr val="5B9BD5">
                    <a:lumMod val="7500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9AC-4A65-BABB-8BCE589A491F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9525">
                <a:solidFill>
                  <a:srgbClr val="5B9BD5">
                    <a:lumMod val="7500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9AC-4A65-BABB-8BCE589A491F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9AC-4A65-BABB-8BCE589A491F}"/>
              </c:ext>
            </c:extLst>
          </c:dPt>
          <c:val>
            <c:numRef>
              <c:f>Graphs!$AM$24:$AO$24</c:f>
              <c:numCache>
                <c:formatCode>0.000</c:formatCode>
                <c:ptCount val="3"/>
                <c:pt idx="0" formatCode="0.0%">
                  <c:v>0.28094858270417877</c:v>
                </c:pt>
                <c:pt idx="1">
                  <c:v>0.71905141729582123</c:v>
                </c:pt>
                <c:pt idx="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AC-4A65-BABB-8BCE589A4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>
                  <a:lumMod val="75000"/>
                </a:srgbClr>
              </a:solidFill>
              <a:ln w="9525">
                <a:solidFill>
                  <a:srgbClr val="5B9BD5">
                    <a:lumMod val="7500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9AC-4A65-BABB-8BCE589A491F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9525">
                <a:solidFill>
                  <a:srgbClr val="5B9BD5">
                    <a:lumMod val="7500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9AC-4A65-BABB-8BCE589A491F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9AC-4A65-BABB-8BCE589A491F}"/>
              </c:ext>
            </c:extLst>
          </c:dPt>
          <c:val>
            <c:numRef>
              <c:f>Graphs!$AM$25:$AO$25</c:f>
              <c:numCache>
                <c:formatCode>0.000</c:formatCode>
                <c:ptCount val="3"/>
                <c:pt idx="0" formatCode="0.0%">
                  <c:v>0.24960474243240222</c:v>
                </c:pt>
                <c:pt idx="1">
                  <c:v>0.75039525756759784</c:v>
                </c:pt>
                <c:pt idx="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AC-4A65-BABB-8BCE589A4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B19A">
                <a:alpha val="20000"/>
              </a:srgbClr>
            </a:solidFill>
            <a:ln>
              <a:solidFill>
                <a:srgbClr val="C00000"/>
              </a:solidFill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C00000">
                  <a:alpha val="20000"/>
                </a:srgbClr>
              </a:solidFill>
              <a:ln>
                <a:solidFill>
                  <a:srgbClr val="C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75C7-4D3E-810F-8146A1BE963E}"/>
              </c:ext>
            </c:extLst>
          </c:dPt>
          <c:val>
            <c:numRef>
              <c:f>(Graphs!$AG$24,Graphs!$AG$19,Graphs!$AG$14,Graphs!$AG$9,Graphs!$AG$4)</c:f>
              <c:numCache>
                <c:formatCode>#,##0</c:formatCode>
                <c:ptCount val="5"/>
                <c:pt idx="0">
                  <c:v>1790.1021278549815</c:v>
                </c:pt>
                <c:pt idx="1">
                  <c:v>173.88402163410137</c:v>
                </c:pt>
                <c:pt idx="2">
                  <c:v>1963.9861494890843</c:v>
                </c:pt>
                <c:pt idx="3">
                  <c:v>216.47362592028139</c:v>
                </c:pt>
                <c:pt idx="4">
                  <c:v>1747.5125235688029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C7-4D3E-810F-8146A1BE96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563691135"/>
        <c:axId val="1563691967"/>
      </c:barChart>
      <c:catAx>
        <c:axId val="1563691135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3691967"/>
        <c:crosses val="autoZero"/>
        <c:auto val="1"/>
        <c:lblAlgn val="ctr"/>
        <c:lblOffset val="100"/>
        <c:noMultiLvlLbl val="0"/>
      </c:catAx>
      <c:valAx>
        <c:axId val="1563691967"/>
        <c:scaling>
          <c:orientation val="minMax"/>
        </c:scaling>
        <c:delete val="1"/>
        <c:axPos val="b"/>
        <c:numFmt formatCode="#,##0" sourceLinked="1"/>
        <c:majorTickMark val="none"/>
        <c:minorTickMark val="none"/>
        <c:tickLblPos val="nextTo"/>
        <c:crossAx val="15636911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TransMatrix!$G$29</c:f>
              <c:strCache>
                <c:ptCount val="1"/>
                <c:pt idx="0">
                  <c:v> + Cash flow from operations (CCF)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TransMatrix!$I$29:$N$29</c:f>
              <c:numCache>
                <c:formatCode>#,##0_ ;\-#,##0\ </c:formatCode>
                <c:ptCount val="6"/>
                <c:pt idx="0">
                  <c:v>-23750</c:v>
                </c:pt>
                <c:pt idx="1">
                  <c:v>6203.8921232876673</c:v>
                </c:pt>
                <c:pt idx="2">
                  <c:v>5996.8252089041116</c:v>
                </c:pt>
                <c:pt idx="3">
                  <c:v>6853.6678337465801</c:v>
                </c:pt>
                <c:pt idx="4">
                  <c:v>7793.8466063642281</c:v>
                </c:pt>
                <c:pt idx="5">
                  <c:v>13286.638132654705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TransMatrix!#REF!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A955-4851-B5BC-A5085A9963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30000"/>
          <c:min val="-30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out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TransMatrix!$G$30</c:f>
              <c:strCache>
                <c:ptCount val="1"/>
                <c:pt idx="0">
                  <c:v> + Cash flow from/to non-operating assets</c:v>
                </c:pt>
              </c:strCache>
            </c:strRef>
          </c:tx>
          <c:spPr>
            <a:solidFill>
              <a:srgbClr val="C5E0B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TransMatrix!$I$30:$N$30</c:f>
              <c:numCache>
                <c:formatCode>#,##0_ ;\-#,##0\ </c:formatCode>
                <c:ptCount val="6"/>
                <c:pt idx="0">
                  <c:v>3750</c:v>
                </c:pt>
                <c:pt idx="1">
                  <c:v>-3330.6171232876673</c:v>
                </c:pt>
                <c:pt idx="2">
                  <c:v>-2985.5011739726046</c:v>
                </c:pt>
                <c:pt idx="3">
                  <c:v>-3688.4194438328814</c:v>
                </c:pt>
                <c:pt idx="4">
                  <c:v>-4453.4735386492721</c:v>
                </c:pt>
                <c:pt idx="5">
                  <c:v>11088.611596551451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CF-479B-A33A-F588B5C4F4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30000"/>
          <c:min val="-30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out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TransMatrix!$G$31</c:f>
              <c:strCache>
                <c:ptCount val="1"/>
                <c:pt idx="0">
                  <c:v>Cash flow from assets</c:v>
                </c:pt>
              </c:strCache>
            </c:strRef>
          </c:tx>
          <c:spPr>
            <a:solidFill>
              <a:srgbClr val="70AD47">
                <a:lumMod val="75000"/>
              </a:srgb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TransMatrix!$I$31:$N$31</c:f>
              <c:numCache>
                <c:formatCode>#,##0_ ;\-#,##0\ </c:formatCode>
                <c:ptCount val="6"/>
                <c:pt idx="0">
                  <c:v>-20000</c:v>
                </c:pt>
                <c:pt idx="1">
                  <c:v>2873.2750000000001</c:v>
                </c:pt>
                <c:pt idx="2">
                  <c:v>3011.324034931507</c:v>
                </c:pt>
                <c:pt idx="3">
                  <c:v>3165.2483899136987</c:v>
                </c:pt>
                <c:pt idx="4">
                  <c:v>3340.3730677149561</c:v>
                </c:pt>
                <c:pt idx="5">
                  <c:v>24375.249729206156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89-4E45-8D15-269A3A4FB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30000"/>
          <c:min val="-30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out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TransMatrix!$G$10</c:f>
              <c:strCache>
                <c:ptCount val="1"/>
                <c:pt idx="0">
                  <c:v> + Liquid Assets</c:v>
                </c:pt>
              </c:strCache>
            </c:strRef>
          </c:tx>
          <c:spPr>
            <a:solidFill>
              <a:srgbClr val="F8CBA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TransMatrix!$I$10:$N$10</c:f>
              <c:numCache>
                <c:formatCode>#,##0_ ;\-#,##0\ </c:formatCode>
                <c:ptCount val="6"/>
                <c:pt idx="0">
                  <c:v>-3750</c:v>
                </c:pt>
                <c:pt idx="1">
                  <c:v>-513.13287671233275</c:v>
                </c:pt>
                <c:pt idx="2">
                  <c:v>2459.5399753424635</c:v>
                </c:pt>
                <c:pt idx="3">
                  <c:v>6209.4479185589062</c:v>
                </c:pt>
                <c:pt idx="4">
                  <c:v>10818.157655172152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TransMatrix!#REF!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346-4BA8-B4AF-291E6173D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30000"/>
          <c:min val="-10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TransMatrix!$G$33</c:f>
              <c:strCache>
                <c:ptCount val="1"/>
                <c:pt idx="0">
                  <c:v> + Cash flow to debtholders</c:v>
                </c:pt>
              </c:strCache>
            </c:strRef>
          </c:tx>
          <c:spPr>
            <a:solidFill>
              <a:srgbClr val="C5E0B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TransMatrix!$I$33:$N$33</c:f>
              <c:numCache>
                <c:formatCode>#,##0_ ;\-#,##0\ </c:formatCode>
                <c:ptCount val="6"/>
                <c:pt idx="0">
                  <c:v>-12000</c:v>
                </c:pt>
                <c:pt idx="1">
                  <c:v>2640</c:v>
                </c:pt>
                <c:pt idx="2">
                  <c:v>2592</c:v>
                </c:pt>
                <c:pt idx="3">
                  <c:v>2544</c:v>
                </c:pt>
                <c:pt idx="4">
                  <c:v>2496</c:v>
                </c:pt>
                <c:pt idx="5">
                  <c:v>2448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03-42C3-A30C-AA8585EB3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30000"/>
          <c:min val="-30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out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TransMatrix!$G$34</c:f>
              <c:strCache>
                <c:ptCount val="1"/>
                <c:pt idx="0">
                  <c:v> + Cash flow to equity</c:v>
                </c:pt>
              </c:strCache>
            </c:strRef>
          </c:tx>
          <c:spPr>
            <a:solidFill>
              <a:srgbClr val="C5E0B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TransMatrix!$I$34:$N$34</c:f>
              <c:numCache>
                <c:formatCode>#,##0_ ;\-#,##0\ </c:formatCode>
                <c:ptCount val="6"/>
                <c:pt idx="0">
                  <c:v>-8000</c:v>
                </c:pt>
                <c:pt idx="1">
                  <c:v>233.27500000000001</c:v>
                </c:pt>
                <c:pt idx="2">
                  <c:v>419.3240349315069</c:v>
                </c:pt>
                <c:pt idx="3">
                  <c:v>621.2483899136987</c:v>
                </c:pt>
                <c:pt idx="4">
                  <c:v>844.37306771495628</c:v>
                </c:pt>
                <c:pt idx="5">
                  <c:v>21927.249729206156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BF-42D9-A18E-EECDBF909E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30000"/>
          <c:min val="-30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out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666666666666664E-4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TransMatrix!$G$19</c:f>
              <c:strCache>
                <c:ptCount val="1"/>
                <c:pt idx="0">
                  <c:v> + Operating income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TransMatrix!$I$19:$N$19</c:f>
              <c:numCache>
                <c:formatCode>#,##0_ ;\-#,##0\ </c:formatCode>
                <c:ptCount val="6"/>
                <c:pt idx="0">
                  <c:v>0</c:v>
                </c:pt>
                <c:pt idx="1">
                  <c:v>1500.125</c:v>
                </c:pt>
                <c:pt idx="2">
                  <c:v>2301.4484965753427</c:v>
                </c:pt>
                <c:pt idx="3">
                  <c:v>3188.7534501849314</c:v>
                </c:pt>
                <c:pt idx="4">
                  <c:v>4162.6291406108085</c:v>
                </c:pt>
                <c:pt idx="5">
                  <c:v>5231.9138175862099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TransMatrix!#REF!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11D-4C9B-A94B-9D6FC3421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8000"/>
          <c:min val="-2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out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666666666666664E-4"/>
          <c:y val="2.2225721784776909E-3"/>
          <c:w val="1"/>
          <c:h val="0.938277230155138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TransMatrix!$G$20</c:f>
              <c:strCache>
                <c:ptCount val="1"/>
                <c:pt idx="0">
                  <c:v> + Interest income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TransMatrix!$I$20:$N$20</c:f>
              <c:numCache>
                <c:formatCode>#,##0_ ;\-#,##0\ </c:formatCode>
                <c:ptCount val="6"/>
                <c:pt idx="0">
                  <c:v>0</c:v>
                </c:pt>
                <c:pt idx="1">
                  <c:v>-93.75</c:v>
                </c:pt>
                <c:pt idx="2">
                  <c:v>-12.828321917808319</c:v>
                </c:pt>
                <c:pt idx="3">
                  <c:v>61.488499383561589</c:v>
                </c:pt>
                <c:pt idx="4">
                  <c:v>155.23619796397267</c:v>
                </c:pt>
                <c:pt idx="5">
                  <c:v>270.45394137930379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TransMatrix!#REF!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11D-4C9B-A94B-9D6FC3421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8000"/>
          <c:min val="-2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out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666666666666664E-4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TransMatrix!$G$21</c:f>
              <c:strCache>
                <c:ptCount val="1"/>
                <c:pt idx="0">
                  <c:v>Income from assets</c:v>
                </c:pt>
              </c:strCache>
            </c:strRef>
          </c:tx>
          <c:spPr>
            <a:solidFill>
              <a:srgbClr val="FFC000">
                <a:lumMod val="75000"/>
              </a:srgb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TransMatrix!$I$21:$N$21</c:f>
              <c:numCache>
                <c:formatCode>#,##0_ ;\-#,##0\ </c:formatCode>
                <c:ptCount val="6"/>
                <c:pt idx="0">
                  <c:v>0</c:v>
                </c:pt>
                <c:pt idx="1">
                  <c:v>1406.375</c:v>
                </c:pt>
                <c:pt idx="2">
                  <c:v>2288.6201746575343</c:v>
                </c:pt>
                <c:pt idx="3">
                  <c:v>3250.2419495684931</c:v>
                </c:pt>
                <c:pt idx="4">
                  <c:v>4317.8653385747812</c:v>
                </c:pt>
                <c:pt idx="5">
                  <c:v>5502.3677589655135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TransMatrix!#REF!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11D-4C9B-A94B-9D6FC3421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8000"/>
          <c:min val="-2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out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666666666666664E-4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TransMatrix!$G$23</c:f>
              <c:strCache>
                <c:ptCount val="1"/>
                <c:pt idx="0">
                  <c:v> + Interest expenses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TransMatrix!$I$23:$N$23</c:f>
              <c:numCache>
                <c:formatCode>#,##0_ ;\-#,##0\ </c:formatCode>
                <c:ptCount val="6"/>
                <c:pt idx="0">
                  <c:v>0</c:v>
                </c:pt>
                <c:pt idx="1">
                  <c:v>240</c:v>
                </c:pt>
                <c:pt idx="2">
                  <c:v>192</c:v>
                </c:pt>
                <c:pt idx="3">
                  <c:v>144</c:v>
                </c:pt>
                <c:pt idx="4">
                  <c:v>96</c:v>
                </c:pt>
                <c:pt idx="5">
                  <c:v>48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TransMatrix!#REF!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11D-4C9B-A94B-9D6FC3421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8000"/>
          <c:min val="-2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out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666666666666664E-4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TransMatrix!$G$24</c:f>
              <c:strCache>
                <c:ptCount val="1"/>
                <c:pt idx="0">
                  <c:v> + Net Income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4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TransMatrix!$I$24:$N$24</c:f>
              <c:numCache>
                <c:formatCode>#,##0_ ;\-#,##0\ </c:formatCode>
                <c:ptCount val="6"/>
                <c:pt idx="0">
                  <c:v>0</c:v>
                </c:pt>
                <c:pt idx="1">
                  <c:v>1166.375</c:v>
                </c:pt>
                <c:pt idx="2">
                  <c:v>2096.6201746575343</c:v>
                </c:pt>
                <c:pt idx="3">
                  <c:v>3106.2419495684931</c:v>
                </c:pt>
                <c:pt idx="4">
                  <c:v>4221.8653385747812</c:v>
                </c:pt>
                <c:pt idx="5">
                  <c:v>5454.3677589655126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TransMatrix!#REF!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11D-4C9B-A94B-9D6FC3421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8000"/>
          <c:min val="-2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out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59317585301837E-3"/>
          <c:y val="0"/>
          <c:w val="0.92101890141430165"/>
          <c:h val="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ValueCreation!$G$40</c:f>
              <c:strCache>
                <c:ptCount val="1"/>
                <c:pt idx="0">
                  <c:v>financial efficiency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50000"/>
                </a:schemeClr>
              </a:solidFill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solidFill>
                  <a:schemeClr val="accent5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EB1D-451C-AA53-5ADE1B8C6ED0}"/>
              </c:ext>
            </c:extLst>
          </c:dPt>
          <c:cat>
            <c:strRef>
              <c:f>(ValueCreation!$G$42:$G$44,ValueCreation!$G$46:$G$47)</c:f>
              <c:strCache>
                <c:ptCount val="5"/>
                <c:pt idx="0">
                  <c:v>io– ρo</c:v>
                </c:pt>
                <c:pt idx="1">
                  <c:v>il– ρl</c:v>
                </c:pt>
                <c:pt idx="2">
                  <c:v>iinv– ρinv</c:v>
                </c:pt>
                <c:pt idx="3">
                  <c:v>id– ρd</c:v>
                </c:pt>
                <c:pt idx="4">
                  <c:v>ie– ρe</c:v>
                </c:pt>
              </c:strCache>
            </c:strRef>
          </c:cat>
          <c:val>
            <c:numRef>
              <c:f>(Graphs!$AC$24,Graphs!$AC$19,Graphs!$AC$14,Graphs!$AC$9,Graphs!$AC$4)</c:f>
              <c:numCache>
                <c:formatCode>0.0%</c:formatCode>
                <c:ptCount val="5"/>
                <c:pt idx="0">
                  <c:v>3.1343840271776557E-2</c:v>
                </c:pt>
                <c:pt idx="1">
                  <c:v>4.8301117120583218E-3</c:v>
                </c:pt>
                <c:pt idx="2">
                  <c:v>2.1092781242328832E-2</c:v>
                </c:pt>
                <c:pt idx="3">
                  <c:v>1.4219222656933849E-2</c:v>
                </c:pt>
                <c:pt idx="4">
                  <c:v>2.2436293362099485E-2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1C-49F5-9FDF-341037272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569849984"/>
        <c:axId val="1569863712"/>
      </c:barChart>
      <c:catAx>
        <c:axId val="1569849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9863712"/>
        <c:crosses val="autoZero"/>
        <c:auto val="1"/>
        <c:lblAlgn val="ctr"/>
        <c:lblOffset val="100"/>
        <c:noMultiLvlLbl val="0"/>
      </c:catAx>
      <c:valAx>
        <c:axId val="1569863712"/>
        <c:scaling>
          <c:orientation val="minMax"/>
          <c:max val="0.30000000000000004"/>
          <c:min val="-5.000000000000001E-2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out"/>
        <c:minorTickMark val="none"/>
        <c:tickLblPos val="nextTo"/>
        <c:crossAx val="156984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ValueCreation!$E$42</c:f>
              <c:strCache>
                <c:ptCount val="1"/>
                <c:pt idx="0">
                  <c:v>ΣCo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ValueCreation!$E$40</c:f>
              <c:strCache>
                <c:ptCount val="1"/>
                <c:pt idx="0">
                  <c:v>total capital</c:v>
                </c:pt>
              </c:strCache>
            </c:strRef>
          </c:cat>
          <c:val>
            <c:numRef>
              <c:f>ValueCreation!$F$42</c:f>
              <c:numCache>
                <c:formatCode>#,##0.0_ ;\-#,##0.0\ </c:formatCode>
                <c:ptCount val="1"/>
                <c:pt idx="0">
                  <c:v>77887.755136986307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D0-4B3C-A168-ECD6EDD465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0"/>
        <c:axId val="1483481680"/>
        <c:axId val="1483484176"/>
      </c:barChart>
      <c:catAx>
        <c:axId val="14834816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83484176"/>
        <c:crosses val="autoZero"/>
        <c:auto val="1"/>
        <c:lblAlgn val="ctr"/>
        <c:lblOffset val="100"/>
        <c:noMultiLvlLbl val="0"/>
      </c:catAx>
      <c:valAx>
        <c:axId val="1483484176"/>
        <c:scaling>
          <c:orientation val="minMax"/>
          <c:max val="100000"/>
          <c:min val="-20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;\-#,##0.0\ " sourceLinked="1"/>
        <c:majorTickMark val="out"/>
        <c:minorTickMark val="none"/>
        <c:tickLblPos val="nextTo"/>
        <c:crossAx val="148348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ValueCreation!$E$44</c:f>
              <c:strCache>
                <c:ptCount val="1"/>
                <c:pt idx="0">
                  <c:v>ΣCinv</c:v>
                </c:pt>
              </c:strCache>
            </c:strRef>
          </c:tx>
          <c:spPr>
            <a:solidFill>
              <a:srgbClr val="ED7D31">
                <a:lumMod val="75000"/>
              </a:srgb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ValueCreation!$E$40</c:f>
              <c:strCache>
                <c:ptCount val="1"/>
                <c:pt idx="0">
                  <c:v>total capital</c:v>
                </c:pt>
              </c:strCache>
            </c:strRef>
          </c:cat>
          <c:val>
            <c:numRef>
              <c:f>ValueCreation!$F$44</c:f>
              <c:numCache>
                <c:formatCode>#,##0.0_ ;\-#,##0.0\ </c:formatCode>
                <c:ptCount val="1"/>
                <c:pt idx="0">
                  <c:v>93111.767809347482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9C-490B-A2F8-679580A76E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0"/>
        <c:axId val="1483481680"/>
        <c:axId val="1483484176"/>
      </c:barChart>
      <c:catAx>
        <c:axId val="14834816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83484176"/>
        <c:crosses val="autoZero"/>
        <c:auto val="1"/>
        <c:lblAlgn val="ctr"/>
        <c:lblOffset val="100"/>
        <c:noMultiLvlLbl val="0"/>
      </c:catAx>
      <c:valAx>
        <c:axId val="1483484176"/>
        <c:scaling>
          <c:orientation val="minMax"/>
          <c:max val="100000"/>
          <c:min val="-20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;\-#,##0.0\ " sourceLinked="1"/>
        <c:majorTickMark val="out"/>
        <c:minorTickMark val="none"/>
        <c:tickLblPos val="nextTo"/>
        <c:crossAx val="148348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2.2225721784776909E-3"/>
          <c:w val="1"/>
          <c:h val="0.997777427821522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TransMatrix!$G$11</c:f>
              <c:strCache>
                <c:ptCount val="1"/>
                <c:pt idx="0">
                  <c:v>Investments</c:v>
                </c:pt>
              </c:strCache>
            </c:strRef>
          </c:tx>
          <c:spPr>
            <a:solidFill>
              <a:srgbClr val="C55A1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TransMatrix!$I$11:$N$11</c:f>
              <c:numCache>
                <c:formatCode>#,##0_ ;\-#,##0\ </c:formatCode>
                <c:ptCount val="6"/>
                <c:pt idx="0">
                  <c:v>20000</c:v>
                </c:pt>
                <c:pt idx="1">
                  <c:v>18533.099999999995</c:v>
                </c:pt>
                <c:pt idx="2">
                  <c:v>17810.396139726025</c:v>
                </c:pt>
                <c:pt idx="3">
                  <c:v>17895.389699380823</c:v>
                </c:pt>
                <c:pt idx="4">
                  <c:v>18872.881970240647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TransMatrix!#REF!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346-4BA8-B4AF-291E6173D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30000"/>
          <c:min val="-10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ValueCreation!$E$43</c:f>
              <c:strCache>
                <c:ptCount val="1"/>
                <c:pt idx="0">
                  <c:v>ΣCl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ValueCreation!$E$40</c:f>
              <c:strCache>
                <c:ptCount val="1"/>
                <c:pt idx="0">
                  <c:v>total capital</c:v>
                </c:pt>
              </c:strCache>
            </c:strRef>
          </c:cat>
          <c:val>
            <c:numRef>
              <c:f>ValueCreation!$F$43</c:f>
              <c:numCache>
                <c:formatCode>#,##0.0_ ;\-#,##0.0\ </c:formatCode>
                <c:ptCount val="1"/>
                <c:pt idx="0">
                  <c:v>15224.01267236119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24-4AB4-90D0-C7C0D6BA14E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0"/>
        <c:axId val="1483481680"/>
        <c:axId val="1483484176"/>
      </c:barChart>
      <c:catAx>
        <c:axId val="14834816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83484176"/>
        <c:crosses val="autoZero"/>
        <c:auto val="1"/>
        <c:lblAlgn val="ctr"/>
        <c:lblOffset val="100"/>
        <c:noMultiLvlLbl val="0"/>
      </c:catAx>
      <c:valAx>
        <c:axId val="1483484176"/>
        <c:scaling>
          <c:orientation val="minMax"/>
          <c:max val="100000"/>
          <c:min val="-20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;\-#,##0.0\ " sourceLinked="1"/>
        <c:majorTickMark val="out"/>
        <c:minorTickMark val="none"/>
        <c:tickLblPos val="nextTo"/>
        <c:crossAx val="148348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ValueCreation!$E$46</c:f>
              <c:strCache>
                <c:ptCount val="1"/>
                <c:pt idx="0">
                  <c:v>ΣCd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ValueCreation!$E$40</c:f>
              <c:strCache>
                <c:ptCount val="1"/>
                <c:pt idx="0">
                  <c:v>total capital</c:v>
                </c:pt>
              </c:strCache>
            </c:strRef>
          </c:cat>
          <c:val>
            <c:numRef>
              <c:f>ValueCreation!$F$46</c:f>
              <c:numCache>
                <c:formatCode>#,##0.0_ ;\-#,##0.0\ </c:formatCode>
                <c:ptCount val="1"/>
                <c:pt idx="0">
                  <c:v>36000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B9-4EE9-B061-7A2361F0A47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0"/>
        <c:axId val="1483481680"/>
        <c:axId val="1483484176"/>
      </c:barChart>
      <c:catAx>
        <c:axId val="14834816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83484176"/>
        <c:crosses val="autoZero"/>
        <c:auto val="1"/>
        <c:lblAlgn val="ctr"/>
        <c:lblOffset val="100"/>
        <c:noMultiLvlLbl val="0"/>
      </c:catAx>
      <c:valAx>
        <c:axId val="1483484176"/>
        <c:scaling>
          <c:orientation val="minMax"/>
          <c:max val="100000"/>
          <c:min val="-20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;\-#,##0.0\ " sourceLinked="1"/>
        <c:majorTickMark val="out"/>
        <c:minorTickMark val="none"/>
        <c:tickLblPos val="nextTo"/>
        <c:crossAx val="148348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ValueCreation!$E$47</c:f>
              <c:strCache>
                <c:ptCount val="1"/>
                <c:pt idx="0">
                  <c:v>ΣCe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</c:spPr>
          <c:invertIfNegative val="0"/>
          <c:dLbls>
            <c:delete val="1"/>
          </c:dLbls>
          <c:cat>
            <c:strRef>
              <c:f>ValueCreation!$E$40</c:f>
              <c:strCache>
                <c:ptCount val="1"/>
                <c:pt idx="0">
                  <c:v>total capital</c:v>
                </c:pt>
              </c:strCache>
            </c:strRef>
          </c:cat>
          <c:val>
            <c:numRef>
              <c:f>ValueCreation!$F$47</c:f>
              <c:numCache>
                <c:formatCode>#,##0.0_ ;\-#,##0.0\ </c:formatCode>
                <c:ptCount val="1"/>
                <c:pt idx="0">
                  <c:v>57111.767809347497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D1-4FD0-A876-2E68F9EB291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0"/>
        <c:axId val="1483481680"/>
        <c:axId val="1483484176"/>
      </c:barChart>
      <c:catAx>
        <c:axId val="14834816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83484176"/>
        <c:crosses val="autoZero"/>
        <c:auto val="1"/>
        <c:lblAlgn val="ctr"/>
        <c:lblOffset val="100"/>
        <c:noMultiLvlLbl val="0"/>
      </c:catAx>
      <c:valAx>
        <c:axId val="1483484176"/>
        <c:scaling>
          <c:orientation val="minMax"/>
          <c:max val="100000"/>
          <c:min val="-20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 ;\-#,##0.0\ " sourceLinked="1"/>
        <c:majorTickMark val="out"/>
        <c:minorTickMark val="none"/>
        <c:tickLblPos val="nextTo"/>
        <c:crossAx val="148348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0.984683464566929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TransMatrix!$G$13</c:f>
              <c:strCache>
                <c:ptCount val="1"/>
                <c:pt idx="0">
                  <c:v> + Debt</c:v>
                </c:pt>
              </c:strCache>
            </c:strRef>
          </c:tx>
          <c:spPr>
            <a:solidFill>
              <a:srgbClr val="F8CBA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TransMatrix!$I$13:$N$13</c:f>
              <c:numCache>
                <c:formatCode>#,##0_ ;\-#,##0\ </c:formatCode>
                <c:ptCount val="6"/>
                <c:pt idx="0">
                  <c:v>12000</c:v>
                </c:pt>
                <c:pt idx="1">
                  <c:v>9600</c:v>
                </c:pt>
                <c:pt idx="2">
                  <c:v>7200</c:v>
                </c:pt>
                <c:pt idx="3">
                  <c:v>4800</c:v>
                </c:pt>
                <c:pt idx="4">
                  <c:v>2400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TransMatrix!#REF!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346-4BA8-B4AF-291E6173D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30000"/>
          <c:min val="-10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0.984683464566929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TransMatrix!$G$14</c:f>
              <c:strCache>
                <c:ptCount val="1"/>
                <c:pt idx="0">
                  <c:v> + Equity</c:v>
                </c:pt>
              </c:strCache>
            </c:strRef>
          </c:tx>
          <c:spPr>
            <a:solidFill>
              <a:srgbClr val="F8CBA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TransMatrix!$I$14:$N$14</c:f>
              <c:numCache>
                <c:formatCode>#,##0_ ;\-#,##0\ </c:formatCode>
                <c:ptCount val="6"/>
                <c:pt idx="0">
                  <c:v>8000</c:v>
                </c:pt>
                <c:pt idx="1">
                  <c:v>8933.1</c:v>
                </c:pt>
                <c:pt idx="2">
                  <c:v>10610.396139726026</c:v>
                </c:pt>
                <c:pt idx="3">
                  <c:v>13095.389699380821</c:v>
                </c:pt>
                <c:pt idx="4">
                  <c:v>16472.881970240644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TransMatrix!#REF!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346-4BA8-B4AF-291E6173D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311887071"/>
        <c:axId val="1311880831"/>
      </c:barChart>
      <c:catAx>
        <c:axId val="131188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1880831"/>
        <c:crosses val="autoZero"/>
        <c:auto val="1"/>
        <c:lblAlgn val="ctr"/>
        <c:lblOffset val="100"/>
        <c:noMultiLvlLbl val="0"/>
      </c:catAx>
      <c:valAx>
        <c:axId val="1311880831"/>
        <c:scaling>
          <c:orientation val="minMax"/>
          <c:max val="30000"/>
          <c:min val="-10000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crossAx val="131188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73D-4C51-B375-3F7F1CED866F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73D-4C51-B375-3F7F1CED866F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73D-4C51-B375-3F7F1CED866F}"/>
              </c:ext>
            </c:extLst>
          </c:dPt>
          <c:val>
            <c:numRef>
              <c:f>Graphs!$AM$4:$AO$4</c:f>
              <c:numCache>
                <c:formatCode>0.000</c:formatCode>
                <c:ptCount val="3"/>
                <c:pt idx="0" formatCode="0.0%">
                  <c:v>0.210365157862621</c:v>
                </c:pt>
                <c:pt idx="1">
                  <c:v>0.789634842137379</c:v>
                </c:pt>
                <c:pt idx="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3D-4C51-B375-3F7F1CED8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spPr>
            <a:solidFill>
              <a:schemeClr val="accent5">
                <a:lumMod val="50000"/>
              </a:schemeClr>
            </a:solidFill>
            <a:ln>
              <a:noFill/>
            </a:ln>
          </c:spPr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0C-4412-8F90-60C08014A278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0C-4412-8F90-60C08014A278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60C-4412-8F90-60C08014A278}"/>
              </c:ext>
            </c:extLst>
          </c:dPt>
          <c:val>
            <c:numRef>
              <c:f>Graphs!$AM$5:$AO$5</c:f>
              <c:numCache>
                <c:formatCode>0.000</c:formatCode>
                <c:ptCount val="3"/>
                <c:pt idx="0" formatCode="0.0%">
                  <c:v>0.18792886450052151</c:v>
                </c:pt>
                <c:pt idx="1">
                  <c:v>0.81207113549947851</c:v>
                </c:pt>
                <c:pt idx="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3D-4C51-B375-3F7F1CED8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E28-4F04-B99E-9F61D48399C2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E28-4F04-B99E-9F61D48399C2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E28-4F04-B99E-9F61D48399C2}"/>
              </c:ext>
            </c:extLst>
          </c:dPt>
          <c:val>
            <c:numRef>
              <c:f>Graphs!$AM$9:$AO$9</c:f>
              <c:numCache>
                <c:formatCode>0.000</c:formatCode>
                <c:ptCount val="3"/>
                <c:pt idx="0" formatCode="0.0%">
                  <c:v>2.4999999999999998E-2</c:v>
                </c:pt>
                <c:pt idx="1">
                  <c:v>0.97499999999999998</c:v>
                </c:pt>
                <c:pt idx="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E28-4F04-B99E-9F61D4839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AE0-46F3-BFF4-B9ED69C361FE}"/>
              </c:ext>
            </c:extLst>
          </c:dPt>
          <c:dPt>
            <c:idx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AE0-46F3-BFF4-B9ED69C361FE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AE0-46F3-BFF4-B9ED69C361FE}"/>
              </c:ext>
            </c:extLst>
          </c:dPt>
          <c:val>
            <c:numRef>
              <c:f>Graphs!$AM$10:$AO$10</c:f>
              <c:numCache>
                <c:formatCode>0.000</c:formatCode>
                <c:ptCount val="3"/>
                <c:pt idx="0" formatCode="0.0%">
                  <c:v>1.0780777343066148E-2</c:v>
                </c:pt>
                <c:pt idx="1">
                  <c:v>0.98921922265693385</c:v>
                </c:pt>
                <c:pt idx="2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AE0-46F3-BFF4-B9ED69C36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152400</xdr:colOff>
      <xdr:row>2</xdr:row>
      <xdr:rowOff>21771</xdr:rowOff>
    </xdr:from>
    <xdr:to>
      <xdr:col>15</xdr:col>
      <xdr:colOff>413657</xdr:colOff>
      <xdr:row>70</xdr:row>
      <xdr:rowOff>68210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3855013E-ABE9-4572-9088-1493C33B3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2886" y="348342"/>
          <a:ext cx="8948057" cy="111498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152399</xdr:colOff>
      <xdr:row>72</xdr:row>
      <xdr:rowOff>9080</xdr:rowOff>
    </xdr:from>
    <xdr:to>
      <xdr:col>14</xdr:col>
      <xdr:colOff>598714</xdr:colOff>
      <xdr:row>93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084B20E4-BCB2-401D-BCF6-3F24507CA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2885" y="11765651"/>
          <a:ext cx="8512629" cy="34199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20</xdr:row>
      <xdr:rowOff>0</xdr:rowOff>
    </xdr:from>
    <xdr:ext cx="466224" cy="1904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FD3D733-4B2D-4960-BC5A-9F19B5E4ECE8}"/>
                </a:ext>
              </a:extLst>
            </xdr:cNvPr>
            <xdr:cNvSpPr txBox="1"/>
          </xdr:nvSpPr>
          <xdr:spPr>
            <a:xfrm>
              <a:off x="3333750" y="3228474"/>
              <a:ext cx="466224" cy="1904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  <m:sup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𝑒</m:t>
                        </m:r>
                      </m:sup>
                    </m:sSubSup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FD3D733-4B2D-4960-BC5A-9F19B5E4ECE8}"/>
                </a:ext>
              </a:extLst>
            </xdr:cNvPr>
            <xdr:cNvSpPr txBox="1"/>
          </xdr:nvSpPr>
          <xdr:spPr>
            <a:xfrm>
              <a:off x="3333750" y="3228474"/>
              <a:ext cx="466224" cy="1904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it-IT" sz="1100" b="0" i="0">
                  <a:latin typeface="Cambria Math" panose="02040503050406030204" pitchFamily="18" charset="0"/>
                </a:rPr>
                <a:t>𝐶_0^𝑒</a:t>
              </a:r>
              <a:endParaRPr lang="it-IT" sz="1100"/>
            </a:p>
          </xdr:txBody>
        </xdr:sp>
      </mc:Fallback>
    </mc:AlternateContent>
    <xdr:clientData/>
  </xdr:oneCellAnchor>
  <xdr:oneCellAnchor>
    <xdr:from>
      <xdr:col>6</xdr:col>
      <xdr:colOff>0</xdr:colOff>
      <xdr:row>21</xdr:row>
      <xdr:rowOff>1</xdr:rowOff>
    </xdr:from>
    <xdr:ext cx="466224" cy="19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A33593E-1804-46B3-8F7E-3BD76BB307E9}"/>
                </a:ext>
              </a:extLst>
            </xdr:cNvPr>
            <xdr:cNvSpPr txBox="1"/>
          </xdr:nvSpPr>
          <xdr:spPr>
            <a:xfrm>
              <a:off x="3333750" y="3418975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it-IT" sz="110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  <m:sup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𝑙</m:t>
                        </m:r>
                      </m:sup>
                    </m:sSubSup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BA33593E-1804-46B3-8F7E-3BD76BB307E9}"/>
                </a:ext>
              </a:extLst>
            </xdr:cNvPr>
            <xdr:cNvSpPr txBox="1"/>
          </xdr:nvSpPr>
          <xdr:spPr>
            <a:xfrm>
              <a:off x="3333750" y="3418975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it-IT" sz="1100" b="0" i="0">
                  <a:latin typeface="Cambria Math" panose="02040503050406030204" pitchFamily="18" charset="0"/>
                </a:rPr>
                <a:t>𝐶_0^𝑙</a:t>
              </a:r>
              <a:endParaRPr lang="it-IT" sz="1100"/>
            </a:p>
          </xdr:txBody>
        </xdr:sp>
      </mc:Fallback>
    </mc:AlternateContent>
    <xdr:clientData/>
  </xdr:oneCellAnchor>
  <xdr:oneCellAnchor>
    <xdr:from>
      <xdr:col>6</xdr:col>
      <xdr:colOff>0</xdr:colOff>
      <xdr:row>22</xdr:row>
      <xdr:rowOff>0</xdr:rowOff>
    </xdr:from>
    <xdr:ext cx="466224" cy="19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D2C5C06B-E7D1-41BB-9E61-C1AE4EE2B5B3}"/>
                </a:ext>
              </a:extLst>
            </xdr:cNvPr>
            <xdr:cNvSpPr txBox="1"/>
          </xdr:nvSpPr>
          <xdr:spPr>
            <a:xfrm>
              <a:off x="3333750" y="3607594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𝑖</m:t>
                        </m:r>
                      </m:e>
                      <m:sup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𝑑</m:t>
                        </m:r>
                      </m:sup>
                    </m:sSup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D2C5C06B-E7D1-41BB-9E61-C1AE4EE2B5B3}"/>
                </a:ext>
              </a:extLst>
            </xdr:cNvPr>
            <xdr:cNvSpPr txBox="1"/>
          </xdr:nvSpPr>
          <xdr:spPr>
            <a:xfrm>
              <a:off x="3333750" y="3607594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it-IT" sz="1100" b="0" i="0">
                  <a:latin typeface="Cambria Math" panose="02040503050406030204" pitchFamily="18" charset="0"/>
                </a:rPr>
                <a:t>𝑖^𝑑</a:t>
              </a:r>
              <a:endParaRPr lang="it-IT" sz="1100"/>
            </a:p>
          </xdr:txBody>
        </xdr:sp>
      </mc:Fallback>
    </mc:AlternateContent>
    <xdr:clientData/>
  </xdr:oneCellAnchor>
  <xdr:oneCellAnchor>
    <xdr:from>
      <xdr:col>6</xdr:col>
      <xdr:colOff>0</xdr:colOff>
      <xdr:row>24</xdr:row>
      <xdr:rowOff>0</xdr:rowOff>
    </xdr:from>
    <xdr:ext cx="466224" cy="19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AA9231B0-26C5-41D4-9B77-C1AC97E6AA41}"/>
                </a:ext>
              </a:extLst>
            </xdr:cNvPr>
            <xdr:cNvSpPr txBox="1"/>
          </xdr:nvSpPr>
          <xdr:spPr>
            <a:xfrm>
              <a:off x="3333750" y="4339828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𝑖</m:t>
                        </m:r>
                      </m:e>
                      <m:sup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𝑙</m:t>
                        </m:r>
                      </m:sup>
                    </m:sSup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AA9231B0-26C5-41D4-9B77-C1AC97E6AA41}"/>
                </a:ext>
              </a:extLst>
            </xdr:cNvPr>
            <xdr:cNvSpPr txBox="1"/>
          </xdr:nvSpPr>
          <xdr:spPr>
            <a:xfrm>
              <a:off x="3333750" y="4339828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it-IT" sz="1100" b="0" i="0">
                  <a:latin typeface="Cambria Math" panose="02040503050406030204" pitchFamily="18" charset="0"/>
                </a:rPr>
                <a:t>𝑖^𝑙</a:t>
              </a:r>
              <a:endParaRPr lang="it-IT" sz="1100"/>
            </a:p>
          </xdr:txBody>
        </xdr:sp>
      </mc:Fallback>
    </mc:AlternateContent>
    <xdr:clientData/>
  </xdr:oneCellAnchor>
  <xdr:oneCellAnchor>
    <xdr:from>
      <xdr:col>6</xdr:col>
      <xdr:colOff>0</xdr:colOff>
      <xdr:row>27</xdr:row>
      <xdr:rowOff>0</xdr:rowOff>
    </xdr:from>
    <xdr:ext cx="466224" cy="19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D3E9DBD0-EA0A-41EB-86A1-F55C2B470668}"/>
                </a:ext>
              </a:extLst>
            </xdr:cNvPr>
            <xdr:cNvSpPr txBox="1"/>
          </xdr:nvSpPr>
          <xdr:spPr>
            <a:xfrm>
              <a:off x="3333750" y="4911328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p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𝑙</m:t>
                        </m:r>
                      </m:sup>
                    </m:sSup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D3E9DBD0-EA0A-41EB-86A1-F55C2B470668}"/>
                </a:ext>
              </a:extLst>
            </xdr:cNvPr>
            <xdr:cNvSpPr txBox="1"/>
          </xdr:nvSpPr>
          <xdr:spPr>
            <a:xfrm>
              <a:off x="3333750" y="4911328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it-IT" sz="1100" b="0" i="0">
                  <a:latin typeface="Cambria Math" panose="02040503050406030204" pitchFamily="18" charset="0"/>
                </a:rPr>
                <a:t>𝑟^𝑙</a:t>
              </a:r>
              <a:endParaRPr lang="it-IT" sz="1100"/>
            </a:p>
          </xdr:txBody>
        </xdr:sp>
      </mc:Fallback>
    </mc:AlternateContent>
    <xdr:clientData/>
  </xdr:oneCellAnchor>
  <xdr:oneCellAnchor>
    <xdr:from>
      <xdr:col>6</xdr:col>
      <xdr:colOff>0</xdr:colOff>
      <xdr:row>27</xdr:row>
      <xdr:rowOff>189502</xdr:rowOff>
    </xdr:from>
    <xdr:ext cx="466224" cy="19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91626267-336C-4FCF-9925-5ECEA968CA1C}"/>
                </a:ext>
              </a:extLst>
            </xdr:cNvPr>
            <xdr:cNvSpPr txBox="1"/>
          </xdr:nvSpPr>
          <xdr:spPr>
            <a:xfrm>
              <a:off x="3333750" y="5100830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it-IT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it-I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</m:e>
                      <m:sup>
                        <m:r>
                          <a:rPr lang="it-I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</m:sup>
                    </m:sSup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91626267-336C-4FCF-9925-5ECEA968CA1C}"/>
                </a:ext>
              </a:extLst>
            </xdr:cNvPr>
            <xdr:cNvSpPr txBox="1"/>
          </xdr:nvSpPr>
          <xdr:spPr>
            <a:xfrm>
              <a:off x="3333750" y="5100830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it-I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𝑟^𝑑</a:t>
              </a:r>
              <a:endParaRPr lang="it-IT" sz="1100"/>
            </a:p>
          </xdr:txBody>
        </xdr:sp>
      </mc:Fallback>
    </mc:AlternateContent>
    <xdr:clientData/>
  </xdr:oneCellAnchor>
  <xdr:oneCellAnchor>
    <xdr:from>
      <xdr:col>6</xdr:col>
      <xdr:colOff>0</xdr:colOff>
      <xdr:row>26</xdr:row>
      <xdr:rowOff>0</xdr:rowOff>
    </xdr:from>
    <xdr:ext cx="466224" cy="19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F61D025C-54C8-4E79-9A54-71D0787E3C91}"/>
                </a:ext>
              </a:extLst>
            </xdr:cNvPr>
            <xdr:cNvSpPr txBox="1"/>
          </xdr:nvSpPr>
          <xdr:spPr>
            <a:xfrm>
              <a:off x="3333750" y="4720828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it-IT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p>
                        <m:r>
                          <a:rPr lang="it-IT" sz="1100" b="0" i="1">
                            <a:latin typeface="Cambria Math" panose="02040503050406030204" pitchFamily="18" charset="0"/>
                          </a:rPr>
                          <m:t>𝑜</m:t>
                        </m:r>
                      </m:sup>
                    </m:sSup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F61D025C-54C8-4E79-9A54-71D0787E3C91}"/>
                </a:ext>
              </a:extLst>
            </xdr:cNvPr>
            <xdr:cNvSpPr txBox="1"/>
          </xdr:nvSpPr>
          <xdr:spPr>
            <a:xfrm>
              <a:off x="3333750" y="4720828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it-IT" sz="1100" b="0" i="0">
                  <a:latin typeface="Cambria Math" panose="02040503050406030204" pitchFamily="18" charset="0"/>
                </a:rPr>
                <a:t>𝑟^𝑜</a:t>
              </a:r>
              <a:endParaRPr lang="it-IT" sz="1100"/>
            </a:p>
          </xdr:txBody>
        </xdr:sp>
      </mc:Fallback>
    </mc:AlternateContent>
    <xdr:clientData/>
  </xdr:oneCellAnchor>
  <xdr:oneCellAnchor>
    <xdr:from>
      <xdr:col>6</xdr:col>
      <xdr:colOff>0</xdr:colOff>
      <xdr:row>14</xdr:row>
      <xdr:rowOff>0</xdr:rowOff>
    </xdr:from>
    <xdr:ext cx="466224" cy="19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E5D006A4-16CB-45A8-A41D-69DD7B7AE4DB}"/>
                </a:ext>
              </a:extLst>
            </xdr:cNvPr>
            <xdr:cNvSpPr txBox="1"/>
          </xdr:nvSpPr>
          <xdr:spPr>
            <a:xfrm>
              <a:off x="3333750" y="2434828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it-IT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it-IT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LC</m:t>
                        </m:r>
                      </m:e>
                      <m:sup>
                        <m:r>
                          <a:rPr lang="it-I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𝑛𝑚</m:t>
                        </m:r>
                      </m:sup>
                    </m:sSup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E5D006A4-16CB-45A8-A41D-69DD7B7AE4DB}"/>
                </a:ext>
              </a:extLst>
            </xdr:cNvPr>
            <xdr:cNvSpPr txBox="1"/>
          </xdr:nvSpPr>
          <xdr:spPr>
            <a:xfrm>
              <a:off x="3333750" y="2434828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it-I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LC</a:t>
              </a:r>
              <a:r>
                <a:rPr lang="it-I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</a:t>
              </a:r>
              <a:r>
                <a:rPr lang="it-I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𝑛𝑚</a:t>
              </a:r>
              <a:endParaRPr lang="it-IT" sz="1100"/>
            </a:p>
          </xdr:txBody>
        </xdr:sp>
      </mc:Fallback>
    </mc:AlternateContent>
    <xdr:clientData/>
  </xdr:oneCellAnchor>
  <xdr:oneCellAnchor>
    <xdr:from>
      <xdr:col>6</xdr:col>
      <xdr:colOff>0</xdr:colOff>
      <xdr:row>10</xdr:row>
      <xdr:rowOff>189502</xdr:rowOff>
    </xdr:from>
    <xdr:ext cx="466224" cy="19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59A748C1-07EE-4FC5-83BD-AF6AC6ABC57E}"/>
                </a:ext>
              </a:extLst>
            </xdr:cNvPr>
            <xdr:cNvSpPr txBox="1"/>
          </xdr:nvSpPr>
          <xdr:spPr>
            <a:xfrm>
              <a:off x="3333750" y="1862330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it-IT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it-IT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LC</m:t>
                        </m:r>
                      </m:e>
                      <m:sup>
                        <m:r>
                          <a:rPr lang="it-I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𝑚</m:t>
                        </m:r>
                      </m:sup>
                    </m:sSup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59A748C1-07EE-4FC5-83BD-AF6AC6ABC57E}"/>
                </a:ext>
              </a:extLst>
            </xdr:cNvPr>
            <xdr:cNvSpPr txBox="1"/>
          </xdr:nvSpPr>
          <xdr:spPr>
            <a:xfrm>
              <a:off x="3333750" y="1862330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it-I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LC</a:t>
              </a:r>
              <a:r>
                <a:rPr lang="it-IT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^</a:t>
              </a:r>
              <a:r>
                <a:rPr lang="it-I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𝑚</a:t>
              </a:r>
              <a:endParaRPr lang="it-IT" sz="1100"/>
            </a:p>
          </xdr:txBody>
        </xdr:sp>
      </mc:Fallback>
    </mc:AlternateContent>
    <xdr:clientData/>
  </xdr:oneCellAnchor>
  <xdr:oneCellAnchor>
    <xdr:from>
      <xdr:col>6</xdr:col>
      <xdr:colOff>5740</xdr:colOff>
      <xdr:row>9</xdr:row>
      <xdr:rowOff>189502</xdr:rowOff>
    </xdr:from>
    <xdr:ext cx="466224" cy="19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FBE990F7-1BED-4B11-8D59-455FEE8162D7}"/>
                </a:ext>
              </a:extLst>
            </xdr:cNvPr>
            <xdr:cNvSpPr txBox="1"/>
          </xdr:nvSpPr>
          <xdr:spPr>
            <a:xfrm>
              <a:off x="3442360" y="2033542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it-IT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m:rPr>
                            <m:sty m:val="p"/>
                          </m:rPr>
                          <a:rPr lang="it-IT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COP</m:t>
                        </m:r>
                      </m:e>
                      <m:sup>
                        <m:r>
                          <a:rPr lang="it-I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𝑚</m:t>
                        </m:r>
                      </m:sup>
                    </m:sSup>
                  </m:oMath>
                </m:oMathPara>
              </a14:m>
              <a:endParaRPr lang="it-IT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FBE990F7-1BED-4B11-8D59-455FEE8162D7}"/>
                </a:ext>
              </a:extLst>
            </xdr:cNvPr>
            <xdr:cNvSpPr txBox="1"/>
          </xdr:nvSpPr>
          <xdr:spPr>
            <a:xfrm>
              <a:off x="3442360" y="2033542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it-I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COP^𝑚</a:t>
              </a:r>
              <a:endParaRPr lang="it-IT" sz="1100"/>
            </a:p>
          </xdr:txBody>
        </xdr:sp>
      </mc:Fallback>
    </mc:AlternateContent>
    <xdr:clientData/>
  </xdr:oneCellAnchor>
  <xdr:oneCellAnchor>
    <xdr:from>
      <xdr:col>6</xdr:col>
      <xdr:colOff>0</xdr:colOff>
      <xdr:row>7</xdr:row>
      <xdr:rowOff>0</xdr:rowOff>
    </xdr:from>
    <xdr:ext cx="466224" cy="19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1CC43043-43FE-4654-B207-0D782B0A2931}"/>
                </a:ext>
              </a:extLst>
            </xdr:cNvPr>
            <xdr:cNvSpPr txBox="1"/>
          </xdr:nvSpPr>
          <xdr:spPr>
            <a:xfrm>
              <a:off x="3333750" y="1101328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it-I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it-IT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S</m:t>
                        </m:r>
                      </m:e>
                      <m:sub>
                        <m:r>
                          <a:rPr lang="it-IT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it-IT" sz="1100" i="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1CC43043-43FE-4654-B207-0D782B0A2931}"/>
                </a:ext>
              </a:extLst>
            </xdr:cNvPr>
            <xdr:cNvSpPr txBox="1"/>
          </xdr:nvSpPr>
          <xdr:spPr>
            <a:xfrm>
              <a:off x="3333750" y="1101328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it-I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S_0</a:t>
              </a:r>
              <a:endParaRPr lang="it-IT" sz="1100" i="0"/>
            </a:p>
          </xdr:txBody>
        </xdr:sp>
      </mc:Fallback>
    </mc:AlternateContent>
    <xdr:clientData/>
  </xdr:oneCellAnchor>
  <xdr:oneCellAnchor>
    <xdr:from>
      <xdr:col>5</xdr:col>
      <xdr:colOff>2154580</xdr:colOff>
      <xdr:row>5</xdr:row>
      <xdr:rowOff>0</xdr:rowOff>
    </xdr:from>
    <xdr:ext cx="466224" cy="19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94A9397E-A978-430E-ABFF-3CFEF91E1EF8}"/>
                </a:ext>
              </a:extLst>
            </xdr:cNvPr>
            <xdr:cNvSpPr txBox="1"/>
          </xdr:nvSpPr>
          <xdr:spPr>
            <a:xfrm>
              <a:off x="3434740" y="1082040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b>
                      <m:sSubPr>
                        <m:ctrlPr>
                          <a:rPr lang="it-IT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it-IT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NFA</m:t>
                        </m:r>
                      </m:e>
                      <m:sub>
                        <m:r>
                          <a:rPr lang="it-IT" sz="1100" b="0" i="0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it-IT" sz="1100" i="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94A9397E-A978-430E-ABFF-3CFEF91E1EF8}"/>
                </a:ext>
              </a:extLst>
            </xdr:cNvPr>
            <xdr:cNvSpPr txBox="1"/>
          </xdr:nvSpPr>
          <xdr:spPr>
            <a:xfrm>
              <a:off x="3434740" y="1082040"/>
              <a:ext cx="466224" cy="19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it-IT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NFA_0</a:t>
              </a:r>
              <a:endParaRPr lang="it-IT" sz="1100" i="0"/>
            </a:p>
          </xdr:txBody>
        </xdr:sp>
      </mc:Fallback>
    </mc:AlternateContent>
    <xdr:clientData/>
  </xdr:oneCellAnchor>
  <xdr:oneCellAnchor>
    <xdr:from>
      <xdr:col>1</xdr:col>
      <xdr:colOff>76200</xdr:colOff>
      <xdr:row>0</xdr:row>
      <xdr:rowOff>52804</xdr:rowOff>
    </xdr:from>
    <xdr:ext cx="1080000" cy="3600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49AFFD2-254C-44AA-8923-7C5EC026BAF3}"/>
            </a:ext>
          </a:extLst>
        </xdr:cNvPr>
        <xdr:cNvSpPr txBox="1"/>
      </xdr:nvSpPr>
      <xdr:spPr>
        <a:xfrm>
          <a:off x="76200" y="52804"/>
          <a:ext cx="1080000" cy="360000"/>
        </a:xfrm>
        <a:prstGeom prst="roundRect">
          <a:avLst/>
        </a:prstGeom>
        <a:solidFill>
          <a:schemeClr val="bg1">
            <a:alpha val="60000"/>
          </a:schemeClr>
        </a:solidFill>
        <a:ln w="28575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 anchorCtr="0">
          <a:noAutofit/>
        </a:bodyPr>
        <a:lstStyle/>
        <a:p>
          <a:pPr algn="ctr"/>
          <a:r>
            <a:rPr lang="it-IT" sz="1400" b="1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module</a:t>
          </a:r>
          <a:r>
            <a:rPr lang="it-IT" sz="1400" b="1" baseline="0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1</a:t>
          </a:r>
          <a:endParaRPr lang="it-IT" sz="1400" b="1">
            <a:solidFill>
              <a:srgbClr val="C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57149</xdr:rowOff>
    </xdr:from>
    <xdr:ext cx="1080000" cy="36000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74067D0-E082-48CB-96EC-0ED39FBB9235}"/>
            </a:ext>
          </a:extLst>
        </xdr:cNvPr>
        <xdr:cNvSpPr txBox="1"/>
      </xdr:nvSpPr>
      <xdr:spPr>
        <a:xfrm>
          <a:off x="66675" y="57149"/>
          <a:ext cx="1080000" cy="360000"/>
        </a:xfrm>
        <a:prstGeom prst="roundRect">
          <a:avLst/>
        </a:prstGeom>
        <a:solidFill>
          <a:schemeClr val="bg1">
            <a:alpha val="60000"/>
          </a:schemeClr>
        </a:solidFill>
        <a:ln w="28575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 anchorCtr="0">
          <a:noAutofit/>
        </a:bodyPr>
        <a:lstStyle/>
        <a:p>
          <a:pPr algn="ctr"/>
          <a:r>
            <a:rPr lang="it-IT" sz="1400" b="1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module</a:t>
          </a:r>
          <a:r>
            <a:rPr lang="it-IT" sz="1400" b="1" baseline="0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1</a:t>
          </a:r>
          <a:endParaRPr lang="it-IT" sz="1400" b="1">
            <a:solidFill>
              <a:srgbClr val="C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62330</xdr:rowOff>
    </xdr:from>
    <xdr:ext cx="1440000" cy="3600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F21B70E-623D-41B5-B71F-8A2F0A30B6C0}"/>
            </a:ext>
          </a:extLst>
        </xdr:cNvPr>
        <xdr:cNvSpPr txBox="1"/>
      </xdr:nvSpPr>
      <xdr:spPr>
        <a:xfrm>
          <a:off x="47625" y="62330"/>
          <a:ext cx="1440000" cy="360000"/>
        </a:xfrm>
        <a:prstGeom prst="roundRect">
          <a:avLst/>
        </a:prstGeom>
        <a:solidFill>
          <a:schemeClr val="bg1">
            <a:alpha val="60000"/>
          </a:schemeClr>
        </a:solidFill>
        <a:ln w="28575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 anchorCtr="0">
          <a:noAutofit/>
        </a:bodyPr>
        <a:lstStyle/>
        <a:p>
          <a:pPr algn="ctr"/>
          <a:r>
            <a:rPr lang="it-IT" sz="1400" b="1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modules</a:t>
          </a:r>
          <a:r>
            <a:rPr lang="it-IT" sz="1400" b="1" baseline="0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2, 3, 4</a:t>
          </a:r>
          <a:endParaRPr lang="it-IT" sz="1400" b="1">
            <a:solidFill>
              <a:srgbClr val="C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55561</xdr:rowOff>
    </xdr:from>
    <xdr:ext cx="1080000" cy="3600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139DD49-5812-4A10-99BC-ECB4EEEE1E8A}"/>
            </a:ext>
          </a:extLst>
        </xdr:cNvPr>
        <xdr:cNvSpPr txBox="1"/>
      </xdr:nvSpPr>
      <xdr:spPr>
        <a:xfrm>
          <a:off x="47625" y="55561"/>
          <a:ext cx="1080000" cy="360000"/>
        </a:xfrm>
        <a:prstGeom prst="roundRect">
          <a:avLst/>
        </a:prstGeom>
        <a:solidFill>
          <a:schemeClr val="bg1">
            <a:alpha val="60000"/>
          </a:schemeClr>
        </a:solidFill>
        <a:ln w="28575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 anchorCtr="0">
          <a:noAutofit/>
        </a:bodyPr>
        <a:lstStyle/>
        <a:p>
          <a:pPr algn="ctr"/>
          <a:r>
            <a:rPr lang="it-IT" sz="1400" b="1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module</a:t>
          </a:r>
          <a:r>
            <a:rPr lang="it-IT" sz="1400" b="1" baseline="0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5</a:t>
          </a:r>
          <a:endParaRPr lang="it-IT" sz="1400" b="1">
            <a:solidFill>
              <a:srgbClr val="C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600075</xdr:colOff>
      <xdr:row>7</xdr:row>
      <xdr:rowOff>10508</xdr:rowOff>
    </xdr:from>
    <xdr:to>
      <xdr:col>23</xdr:col>
      <xdr:colOff>257174</xdr:colOff>
      <xdr:row>26</xdr:row>
      <xdr:rowOff>117280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54EE9B80-7021-4827-A21D-9D80FA376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58550" y="1039208"/>
          <a:ext cx="3429000" cy="3157948"/>
        </a:xfrm>
        <a:prstGeom prst="rect">
          <a:avLst/>
        </a:prstGeom>
      </xdr:spPr>
    </xdr:pic>
    <xdr:clientData/>
  </xdr:twoCellAnchor>
  <xdr:twoCellAnchor editAs="oneCell">
    <xdr:from>
      <xdr:col>17</xdr:col>
      <xdr:colOff>600075</xdr:colOff>
      <xdr:row>40</xdr:row>
      <xdr:rowOff>12844</xdr:rowOff>
    </xdr:from>
    <xdr:to>
      <xdr:col>23</xdr:col>
      <xdr:colOff>152399</xdr:colOff>
      <xdr:row>59</xdr:row>
      <xdr:rowOff>136194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9E4E5066-8EDD-4DDD-94FE-D63059672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58550" y="7870969"/>
          <a:ext cx="3324225" cy="3161825"/>
        </a:xfrm>
        <a:prstGeom prst="rect">
          <a:avLst/>
        </a:prstGeom>
      </xdr:spPr>
    </xdr:pic>
    <xdr:clientData/>
  </xdr:twoCellAnchor>
  <xdr:oneCellAnchor>
    <xdr:from>
      <xdr:col>0</xdr:col>
      <xdr:colOff>76200</xdr:colOff>
      <xdr:row>0</xdr:row>
      <xdr:rowOff>47624</xdr:rowOff>
    </xdr:from>
    <xdr:ext cx="1080000" cy="3600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2AE0949-8B9C-4495-81F4-DB89DBD67F89}"/>
            </a:ext>
          </a:extLst>
        </xdr:cNvPr>
        <xdr:cNvSpPr txBox="1"/>
      </xdr:nvSpPr>
      <xdr:spPr>
        <a:xfrm>
          <a:off x="76200" y="47624"/>
          <a:ext cx="1080000" cy="360000"/>
        </a:xfrm>
        <a:prstGeom prst="roundRect">
          <a:avLst/>
        </a:prstGeom>
        <a:solidFill>
          <a:schemeClr val="bg1">
            <a:alpha val="60000"/>
          </a:schemeClr>
        </a:solidFill>
        <a:ln w="28575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 anchorCtr="0">
          <a:noAutofit/>
        </a:bodyPr>
        <a:lstStyle/>
        <a:p>
          <a:pPr algn="ctr"/>
          <a:r>
            <a:rPr lang="it-IT" sz="1400" b="1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module</a:t>
          </a:r>
          <a:r>
            <a:rPr lang="it-IT" sz="1400" b="1" baseline="0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6</a:t>
          </a:r>
          <a:endParaRPr lang="it-IT" sz="1400" b="1">
            <a:solidFill>
              <a:srgbClr val="C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57150</xdr:rowOff>
    </xdr:from>
    <xdr:ext cx="1080000" cy="36000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3DD2C89-BDB8-4833-942B-C9FA72B5C03D}"/>
            </a:ext>
          </a:extLst>
        </xdr:cNvPr>
        <xdr:cNvSpPr txBox="1"/>
      </xdr:nvSpPr>
      <xdr:spPr>
        <a:xfrm>
          <a:off x="47625" y="57150"/>
          <a:ext cx="1080000" cy="360000"/>
        </a:xfrm>
        <a:prstGeom prst="roundRect">
          <a:avLst/>
        </a:prstGeom>
        <a:solidFill>
          <a:schemeClr val="bg1">
            <a:alpha val="60000"/>
          </a:schemeClr>
        </a:solidFill>
        <a:ln w="28575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 anchorCtr="0">
          <a:noAutofit/>
        </a:bodyPr>
        <a:lstStyle/>
        <a:p>
          <a:pPr algn="ctr"/>
          <a:r>
            <a:rPr lang="it-IT" sz="1400" b="1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module</a:t>
          </a:r>
          <a:r>
            <a:rPr lang="it-IT" sz="1400" b="1" baseline="0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6</a:t>
          </a:r>
          <a:endParaRPr lang="it-IT" sz="1400" b="1">
            <a:solidFill>
              <a:srgbClr val="C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91441</xdr:colOff>
      <xdr:row>17</xdr:row>
      <xdr:rowOff>1</xdr:rowOff>
    </xdr:from>
    <xdr:ext cx="1540328" cy="4762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9894E3C4-6E10-4AFA-BC12-B5A0ADC1420C}"/>
                </a:ext>
              </a:extLst>
            </xdr:cNvPr>
            <xdr:cNvSpPr txBox="1"/>
          </xdr:nvSpPr>
          <xdr:spPr>
            <a:xfrm>
              <a:off x="5173981" y="3360421"/>
              <a:ext cx="1540328" cy="476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ctrlP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naryPr>
                      <m:sub>
                        <m: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it-IT" sz="1000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=0</m:t>
                        </m:r>
                      </m:sub>
                      <m:sup>
                        <m: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p>
                      <m:e>
                        <m:sSub>
                          <m:sSubPr>
                            <m:ctrlPr>
                              <a:rPr lang="it-IT" sz="100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𝐹</m:t>
                            </m:r>
                          </m:e>
                          <m:sub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it-IT" sz="10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9894E3C4-6E10-4AFA-BC12-B5A0ADC1420C}"/>
                </a:ext>
              </a:extLst>
            </xdr:cNvPr>
            <xdr:cNvSpPr txBox="1"/>
          </xdr:nvSpPr>
          <xdr:spPr>
            <a:xfrm>
              <a:off x="5173981" y="3360421"/>
              <a:ext cx="1540328" cy="476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:r>
                <a:rPr lang="it-IT" sz="100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∑_(𝑡=0)^𝑛</a:t>
              </a:r>
              <a:r>
                <a:rPr lang="it-IT" sz="1000" b="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▒𝐹_𝑡 </a:t>
              </a:r>
              <a:endParaRPr lang="it-IT" sz="10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  <xdr:oneCellAnchor>
    <xdr:from>
      <xdr:col>6</xdr:col>
      <xdr:colOff>297180</xdr:colOff>
      <xdr:row>17</xdr:row>
      <xdr:rowOff>1</xdr:rowOff>
    </xdr:from>
    <xdr:ext cx="1333500" cy="4762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B66F0C6F-B7E5-4AC2-9C00-E465E44A6875}"/>
                </a:ext>
              </a:extLst>
            </xdr:cNvPr>
            <xdr:cNvSpPr txBox="1"/>
          </xdr:nvSpPr>
          <xdr:spPr>
            <a:xfrm>
              <a:off x="3611880" y="3360421"/>
              <a:ext cx="1333500" cy="476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ctrlP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naryPr>
                      <m:sub>
                        <m: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it-IT" sz="1000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it-IT" sz="1000" b="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  <m:sup>
                        <m: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p>
                      <m:e>
                        <m:sSub>
                          <m:sSubPr>
                            <m:ctrlPr>
                              <a:rPr lang="it-IT" sz="100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𝐼</m:t>
                            </m:r>
                          </m:e>
                          <m:sub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it-IT" sz="10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B66F0C6F-B7E5-4AC2-9C00-E465E44A6875}"/>
                </a:ext>
              </a:extLst>
            </xdr:cNvPr>
            <xdr:cNvSpPr txBox="1"/>
          </xdr:nvSpPr>
          <xdr:spPr>
            <a:xfrm>
              <a:off x="3611880" y="3360421"/>
              <a:ext cx="1333500" cy="476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:r>
                <a:rPr lang="it-IT" sz="100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</a:t>
              </a:r>
              <a:r>
                <a:rPr lang="it-IT" sz="1000" b="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it-IT" sz="100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𝑡=</a:t>
              </a:r>
              <a:r>
                <a:rPr lang="it-IT" sz="1000" b="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0)^</a:t>
              </a:r>
              <a:r>
                <a:rPr lang="it-IT" sz="100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</a:t>
              </a:r>
              <a:r>
                <a:rPr lang="it-IT" sz="1000" b="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▒𝐼_𝑡 </a:t>
              </a:r>
              <a:endParaRPr lang="it-IT" sz="10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  <xdr:oneCellAnchor>
    <xdr:from>
      <xdr:col>4</xdr:col>
      <xdr:colOff>236220</xdr:colOff>
      <xdr:row>17</xdr:row>
      <xdr:rowOff>0</xdr:rowOff>
    </xdr:from>
    <xdr:ext cx="1333500" cy="4762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14B2BF0-5AE5-4D15-8B55-51812C3F365D}"/>
                </a:ext>
              </a:extLst>
            </xdr:cNvPr>
            <xdr:cNvSpPr txBox="1"/>
          </xdr:nvSpPr>
          <xdr:spPr>
            <a:xfrm>
              <a:off x="1851660" y="3360420"/>
              <a:ext cx="1333500" cy="476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ctrlP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naryPr>
                      <m:sub>
                        <m: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it-IT" sz="1000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=0</m:t>
                        </m:r>
                      </m:sub>
                      <m:sup>
                        <m: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p>
                      <m:e>
                        <m:sSub>
                          <m:sSubPr>
                            <m:ctrlPr>
                              <a:rPr lang="it-IT" sz="100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it-IT" sz="1000">
                <a:solidFill>
                  <a:srgbClr val="002060"/>
                </a:solidFill>
                <a:latin typeface="Cambria" panose="02040503050406030204" pitchFamily="18" charset="0"/>
                <a:ea typeface="Cambria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14B2BF0-5AE5-4D15-8B55-51812C3F365D}"/>
                </a:ext>
              </a:extLst>
            </xdr:cNvPr>
            <xdr:cNvSpPr txBox="1"/>
          </xdr:nvSpPr>
          <xdr:spPr>
            <a:xfrm>
              <a:off x="1851660" y="3360420"/>
              <a:ext cx="1333500" cy="476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:r>
                <a:rPr lang="it-IT" sz="100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∑_(𝑡=0)^𝑛</a:t>
              </a:r>
              <a:r>
                <a:rPr lang="it-IT" sz="1000" b="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▒𝐶_𝑡 </a:t>
              </a:r>
              <a:endParaRPr lang="it-IT" sz="1000">
                <a:solidFill>
                  <a:srgbClr val="002060"/>
                </a:solidFill>
                <a:latin typeface="Cambria" panose="02040503050406030204" pitchFamily="18" charset="0"/>
                <a:ea typeface="Cambria" panose="02040503050406030204" pitchFamily="18" charset="0"/>
              </a:endParaRPr>
            </a:p>
          </xdr:txBody>
        </xdr:sp>
      </mc:Fallback>
    </mc:AlternateContent>
    <xdr:clientData/>
  </xdr:oneCellAnchor>
  <xdr:oneCellAnchor>
    <xdr:from>
      <xdr:col>6</xdr:col>
      <xdr:colOff>0</xdr:colOff>
      <xdr:row>28</xdr:row>
      <xdr:rowOff>1</xdr:rowOff>
    </xdr:from>
    <xdr:ext cx="1333500" cy="3809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5F80E406-BA23-4EB6-AB51-45D23B4ACBF8}"/>
                </a:ext>
              </a:extLst>
            </xdr:cNvPr>
            <xdr:cNvSpPr txBox="1"/>
          </xdr:nvSpPr>
          <xdr:spPr>
            <a:xfrm>
              <a:off x="3143250" y="5304235"/>
              <a:ext cx="1333500" cy="380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it-IT" sz="10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ctrlP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it-IT" sz="100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=0</m:t>
                            </m:r>
                          </m:sub>
                          <m:sup>
                            <m: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p>
                          <m:e>
                            <m:sSub>
                              <m:sSubPr>
                                <m:ctrlPr>
                                  <a:rPr lang="it-IT" sz="10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it-IT" sz="10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𝐹</m:t>
                                </m:r>
                              </m:e>
                              <m:sub>
                                <m:r>
                                  <a:rPr lang="it-IT" sz="10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𝑡</m:t>
                                </m:r>
                              </m:sub>
                            </m:sSub>
                          </m:e>
                        </m:nary>
                      </m:num>
                      <m:den>
                        <m:nary>
                          <m:naryPr>
                            <m:chr m:val="∑"/>
                            <m:ctrlP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it-IT" sz="100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=0</m:t>
                            </m:r>
                          </m:sub>
                          <m:sup>
                            <m: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p>
                          <m:e>
                            <m:sSub>
                              <m:sSubPr>
                                <m:ctrlPr>
                                  <a:rPr lang="it-IT" sz="10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it-IT" sz="10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𝐶</m:t>
                                </m:r>
                              </m:e>
                              <m:sub>
                                <m:r>
                                  <a:rPr lang="it-IT" sz="10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𝑡</m:t>
                                </m:r>
                              </m:sub>
                            </m:sSub>
                          </m:e>
                        </m:nary>
                      </m:den>
                    </m:f>
                  </m:oMath>
                </m:oMathPara>
              </a14:m>
              <a:endParaRPr lang="it-IT" sz="10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5F80E406-BA23-4EB6-AB51-45D23B4ACBF8}"/>
                </a:ext>
              </a:extLst>
            </xdr:cNvPr>
            <xdr:cNvSpPr txBox="1"/>
          </xdr:nvSpPr>
          <xdr:spPr>
            <a:xfrm>
              <a:off x="3143250" y="5304235"/>
              <a:ext cx="1333500" cy="380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:r>
                <a:rPr lang="it-IT" sz="10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(∑_(𝑡=0)^𝑛▒𝐹_𝑡 )/(∑_(𝑡=0)^𝑛▒𝐶_𝑡 )</a:t>
              </a:r>
              <a:endParaRPr lang="it-IT" sz="10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  <xdr:oneCellAnchor>
    <xdr:from>
      <xdr:col>10</xdr:col>
      <xdr:colOff>175260</xdr:colOff>
      <xdr:row>17</xdr:row>
      <xdr:rowOff>1</xdr:rowOff>
    </xdr:from>
    <xdr:ext cx="1333500" cy="4762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117C2914-453A-46AD-B9F4-26A5B52EDBD4}"/>
                </a:ext>
              </a:extLst>
            </xdr:cNvPr>
            <xdr:cNvSpPr txBox="1"/>
          </xdr:nvSpPr>
          <xdr:spPr>
            <a:xfrm>
              <a:off x="7025640" y="3360421"/>
              <a:ext cx="1333500" cy="476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ctrlP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naryPr>
                      <m:sub>
                        <m: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it-IT" sz="1000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it-IT" sz="1000" b="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  <m:sup>
                        <m: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p>
                      <m:e>
                        <m:sSubSup>
                          <m:sSubSupPr>
                            <m:ctrlPr>
                              <a:rPr lang="it-IT" sz="100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𝐼</m:t>
                            </m:r>
                          </m:e>
                          <m:sub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  <m:sup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𝑉</m:t>
                            </m:r>
                          </m:sup>
                        </m:sSubSup>
                      </m:e>
                    </m:nary>
                  </m:oMath>
                </m:oMathPara>
              </a14:m>
              <a:endParaRPr lang="it-IT" sz="10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117C2914-453A-46AD-B9F4-26A5B52EDBD4}"/>
                </a:ext>
              </a:extLst>
            </xdr:cNvPr>
            <xdr:cNvSpPr txBox="1"/>
          </xdr:nvSpPr>
          <xdr:spPr>
            <a:xfrm>
              <a:off x="7025640" y="3360421"/>
              <a:ext cx="1333500" cy="476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:r>
                <a:rPr lang="it-IT" sz="100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</a:t>
              </a:r>
              <a:r>
                <a:rPr lang="it-IT" sz="1000" b="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it-IT" sz="100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𝑡=</a:t>
              </a:r>
              <a:r>
                <a:rPr lang="it-IT" sz="1000" b="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0)^</a:t>
              </a:r>
              <a:r>
                <a:rPr lang="it-IT" sz="100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</a:t>
              </a:r>
              <a:r>
                <a:rPr lang="it-IT" sz="1000" b="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▒𝐼_𝑡^𝑉 </a:t>
              </a:r>
              <a:endParaRPr lang="it-IT" sz="10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  <xdr:oneCellAnchor>
    <xdr:from>
      <xdr:col>12</xdr:col>
      <xdr:colOff>45720</xdr:colOff>
      <xdr:row>17</xdr:row>
      <xdr:rowOff>1</xdr:rowOff>
    </xdr:from>
    <xdr:ext cx="1619250" cy="4762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BCA791AB-450B-4BD5-9B62-1B844D3C2EEA}"/>
                </a:ext>
              </a:extLst>
            </xdr:cNvPr>
            <xdr:cNvSpPr txBox="1"/>
          </xdr:nvSpPr>
          <xdr:spPr>
            <a:xfrm>
              <a:off x="8663940" y="3360421"/>
              <a:ext cx="1619250" cy="476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ctrlP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naryPr>
                      <m:sub>
                        <m: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it-IT" sz="1000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=0</m:t>
                        </m:r>
                      </m:sub>
                      <m:sup>
                        <m:r>
                          <a:rPr lang="it-IT" sz="1000" i="1">
                            <a:solidFill>
                              <a:srgbClr val="002060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𝑛</m:t>
                        </m:r>
                      </m:sup>
                      <m:e>
                        <m:sSubSup>
                          <m:sSubSupPr>
                            <m:ctrlPr>
                              <a:rPr lang="it-IT" sz="100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𝐹</m:t>
                            </m:r>
                          </m:e>
                          <m:sub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  <m:sup>
                            <m:r>
                              <a:rPr lang="it-IT" sz="1000" b="0" i="1">
                                <a:solidFill>
                                  <a:srgbClr val="002060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𝑉</m:t>
                            </m:r>
                          </m:sup>
                        </m:sSubSup>
                      </m:e>
                    </m:nary>
                  </m:oMath>
                </m:oMathPara>
              </a14:m>
              <a:endParaRPr lang="it-IT" sz="10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BCA791AB-450B-4BD5-9B62-1B844D3C2EEA}"/>
                </a:ext>
              </a:extLst>
            </xdr:cNvPr>
            <xdr:cNvSpPr txBox="1"/>
          </xdr:nvSpPr>
          <xdr:spPr>
            <a:xfrm>
              <a:off x="8663940" y="3360421"/>
              <a:ext cx="1619250" cy="476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:r>
                <a:rPr lang="it-IT" sz="100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∑_(𝑡=0)^𝑛</a:t>
              </a:r>
              <a:r>
                <a:rPr lang="it-IT" sz="1000" b="0" i="0">
                  <a:solidFill>
                    <a:srgbClr val="002060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▒𝐹_𝑡^𝑉 </a:t>
              </a:r>
              <a:endParaRPr lang="it-IT" sz="10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  <xdr:oneCellAnchor>
    <xdr:from>
      <xdr:col>7</xdr:col>
      <xdr:colOff>381000</xdr:colOff>
      <xdr:row>27</xdr:row>
      <xdr:rowOff>327660</xdr:rowOff>
    </xdr:from>
    <xdr:ext cx="1581150" cy="3810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C4CEB7DA-1E0A-4050-8C6F-6CF788135291}"/>
                </a:ext>
              </a:extLst>
            </xdr:cNvPr>
            <xdr:cNvSpPr txBox="1"/>
          </xdr:nvSpPr>
          <xdr:spPr>
            <a:xfrm>
              <a:off x="16093440" y="5600700"/>
              <a:ext cx="1581150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it-IT" sz="10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nary>
                          <m:naryPr>
                            <m:chr m:val="∑"/>
                            <m:ctrlP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it-IT" sz="100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</m:t>
                            </m:r>
                            <m:r>
                              <a:rPr lang="it-IT" sz="10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0</m:t>
                            </m:r>
                          </m:sub>
                          <m:sup>
                            <m: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p>
                          <m:e>
                            <m:sSubSup>
                              <m:sSubSupPr>
                                <m:ctrlPr>
                                  <a:rPr lang="it-IT" sz="10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it-IT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𝐼</m:t>
                                </m:r>
                              </m:e>
                              <m:sub>
                                <m:r>
                                  <a:rPr lang="it-IT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𝑡</m:t>
                                </m:r>
                              </m:sub>
                              <m:sup>
                                <m:r>
                                  <a:rPr lang="it-IT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𝑉</m:t>
                                </m:r>
                              </m:sup>
                            </m:sSubSup>
                          </m:e>
                        </m:nary>
                      </m:num>
                      <m:den>
                        <m:nary>
                          <m:naryPr>
                            <m:chr m:val="∑"/>
                            <m:ctrlP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naryPr>
                          <m:sub>
                            <m: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  <m:r>
                              <a:rPr lang="it-IT" sz="1000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=0</m:t>
                            </m:r>
                          </m:sub>
                          <m:sup>
                            <m:r>
                              <a:rPr lang="it-IT" sz="10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𝑛</m:t>
                            </m:r>
                          </m:sup>
                          <m:e>
                            <m:sSub>
                              <m:sSubPr>
                                <m:ctrlPr>
                                  <a:rPr lang="it-IT" sz="10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it-IT" sz="10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𝐶</m:t>
                                </m:r>
                              </m:e>
                              <m:sub>
                                <m:r>
                                  <a:rPr lang="it-IT" sz="10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𝑡</m:t>
                                </m:r>
                              </m:sub>
                            </m:sSub>
                          </m:e>
                        </m:nary>
                      </m:den>
                    </m:f>
                  </m:oMath>
                </m:oMathPara>
              </a14:m>
              <a:endParaRPr lang="it-IT" sz="10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C4CEB7DA-1E0A-4050-8C6F-6CF788135291}"/>
                </a:ext>
              </a:extLst>
            </xdr:cNvPr>
            <xdr:cNvSpPr txBox="1"/>
          </xdr:nvSpPr>
          <xdr:spPr>
            <a:xfrm>
              <a:off x="16093440" y="5600700"/>
              <a:ext cx="1581150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:r>
                <a:rPr lang="it-IT" sz="10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(∑</a:t>
              </a:r>
              <a:r>
                <a:rPr lang="it-IT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</a:t>
              </a:r>
              <a:r>
                <a:rPr lang="it-IT" sz="10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𝑡=</a:t>
              </a:r>
              <a:r>
                <a:rPr lang="it-IT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0)^</a:t>
              </a:r>
              <a:r>
                <a:rPr lang="it-IT" sz="10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</a:t>
              </a:r>
              <a:r>
                <a:rPr lang="it-IT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▒𝐼_𝑡^𝑉 )/(∑_(</a:t>
              </a:r>
              <a:r>
                <a:rPr lang="it-IT" sz="10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𝑡=0)^𝑛▒</a:t>
              </a:r>
              <a:r>
                <a:rPr lang="it-IT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𝐶_</a:t>
              </a:r>
              <a:r>
                <a:rPr lang="it-IT" sz="10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 )</a:t>
              </a:r>
              <a:endParaRPr lang="it-IT" sz="10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  <xdr:oneCellAnchor>
    <xdr:from>
      <xdr:col>4</xdr:col>
      <xdr:colOff>0</xdr:colOff>
      <xdr:row>28</xdr:row>
      <xdr:rowOff>0</xdr:rowOff>
    </xdr:from>
    <xdr:ext cx="1333500" cy="3809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7">
              <a:extLst>
                <a:ext uri="{FF2B5EF4-FFF2-40B4-BE49-F238E27FC236}">
                  <a16:creationId xmlns:a16="http://schemas.microsoft.com/office/drawing/2014/main" id="{6DEE9287-D626-44F5-A40C-9873AB1A6417}"/>
                </a:ext>
              </a:extLst>
            </xdr:cNvPr>
            <xdr:cNvSpPr txBox="1"/>
          </xdr:nvSpPr>
          <xdr:spPr>
            <a:xfrm>
              <a:off x="482600" y="5257800"/>
              <a:ext cx="1333500" cy="380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it-IT" sz="1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it-IT" sz="1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</m:t>
                        </m:r>
                      </m:e>
                      <m:sub>
                        <m:r>
                          <a:rPr lang="it-IT" sz="1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</m:sSub>
                    <m:r>
                      <a:rPr lang="it-IT" sz="10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>
                      <m:sSubPr>
                        <m:ctrlPr>
                          <a:rPr lang="it-IT" sz="1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it-IT" sz="1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it-IT" sz="10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it-IT" sz="10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14" name="TextBox 7">
              <a:extLst>
                <a:ext uri="{FF2B5EF4-FFF2-40B4-BE49-F238E27FC236}">
                  <a16:creationId xmlns:a16="http://schemas.microsoft.com/office/drawing/2014/main" id="{6DEE9287-D626-44F5-A40C-9873AB1A6417}"/>
                </a:ext>
              </a:extLst>
            </xdr:cNvPr>
            <xdr:cNvSpPr txBox="1"/>
          </xdr:nvSpPr>
          <xdr:spPr>
            <a:xfrm>
              <a:off x="482600" y="5257800"/>
              <a:ext cx="1333500" cy="3809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 anchorCtr="0">
              <a:noAutofit/>
            </a:bodyPr>
            <a:lstStyle/>
            <a:p>
              <a:pPr/>
              <a:r>
                <a:rPr lang="it-IT" sz="10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𝑉_0−𝐶_0</a:t>
              </a:r>
              <a:endParaRPr lang="it-IT" sz="10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  <xdr:oneCellAnchor>
    <xdr:from>
      <xdr:col>0</xdr:col>
      <xdr:colOff>95250</xdr:colOff>
      <xdr:row>0</xdr:row>
      <xdr:rowOff>57150</xdr:rowOff>
    </xdr:from>
    <xdr:ext cx="1080000" cy="36000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81C2B3A5-8101-4CCA-9C06-56215381ECEB}"/>
            </a:ext>
          </a:extLst>
        </xdr:cNvPr>
        <xdr:cNvSpPr txBox="1"/>
      </xdr:nvSpPr>
      <xdr:spPr>
        <a:xfrm>
          <a:off x="95250" y="57150"/>
          <a:ext cx="1080000" cy="360000"/>
        </a:xfrm>
        <a:prstGeom prst="roundRect">
          <a:avLst/>
        </a:prstGeom>
        <a:solidFill>
          <a:schemeClr val="bg1">
            <a:alpha val="60000"/>
          </a:schemeClr>
        </a:solidFill>
        <a:ln w="28575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 anchorCtr="0">
          <a:noAutofit/>
        </a:bodyPr>
        <a:lstStyle/>
        <a:p>
          <a:pPr algn="ctr"/>
          <a:r>
            <a:rPr lang="it-IT" sz="1400" b="1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module</a:t>
          </a:r>
          <a:r>
            <a:rPr lang="it-IT" sz="1400" b="1" baseline="0">
              <a:solidFill>
                <a:srgbClr val="C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7</a:t>
          </a:r>
          <a:endParaRPr lang="it-IT" sz="1400" b="1">
            <a:solidFill>
              <a:srgbClr val="C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9</xdr:col>
      <xdr:colOff>0</xdr:colOff>
      <xdr:row>8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15BDD3C-D4CA-4E47-8D34-B421100A46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8</xdr:row>
      <xdr:rowOff>0</xdr:rowOff>
    </xdr:from>
    <xdr:to>
      <xdr:col>9</xdr:col>
      <xdr:colOff>0</xdr:colOff>
      <xdr:row>13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AAFD0AF-D3FA-44FF-B373-1FE0E51863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13</xdr:row>
      <xdr:rowOff>0</xdr:rowOff>
    </xdr:from>
    <xdr:to>
      <xdr:col>9</xdr:col>
      <xdr:colOff>0</xdr:colOff>
      <xdr:row>18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ADCB446C-DB2C-42E6-ABF0-B104E68278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18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D872A5BE-1A1D-401E-A024-4A2831C780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23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28ED7C67-6A36-459A-95CE-A804BF3B71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0</xdr:colOff>
      <xdr:row>3</xdr:row>
      <xdr:rowOff>0</xdr:rowOff>
    </xdr:from>
    <xdr:to>
      <xdr:col>25</xdr:col>
      <xdr:colOff>0</xdr:colOff>
      <xdr:row>8</xdr:row>
      <xdr:rowOff>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8607438-02A9-4233-BB59-F46FEC4EB5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26</xdr:col>
      <xdr:colOff>0</xdr:colOff>
      <xdr:row>3</xdr:row>
      <xdr:rowOff>0</xdr:rowOff>
    </xdr:from>
    <xdr:to>
      <xdr:col>27</xdr:col>
      <xdr:colOff>0</xdr:colOff>
      <xdr:row>8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5D8BBA76-89D8-452E-AD60-251FA93D50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24</xdr:col>
      <xdr:colOff>0</xdr:colOff>
      <xdr:row>8</xdr:row>
      <xdr:rowOff>0</xdr:rowOff>
    </xdr:from>
    <xdr:to>
      <xdr:col>25</xdr:col>
      <xdr:colOff>0</xdr:colOff>
      <xdr:row>13</xdr:row>
      <xdr:rowOff>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C8EB4BE0-9D2A-4A7E-B85D-C1355304F1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0</xdr:colOff>
      <xdr:row>8</xdr:row>
      <xdr:rowOff>0</xdr:rowOff>
    </xdr:from>
    <xdr:to>
      <xdr:col>27</xdr:col>
      <xdr:colOff>0</xdr:colOff>
      <xdr:row>13</xdr:row>
      <xdr:rowOff>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8C41E5A3-DCD9-4929-A870-3FA32E94FB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24</xdr:col>
      <xdr:colOff>0</xdr:colOff>
      <xdr:row>13</xdr:row>
      <xdr:rowOff>0</xdr:rowOff>
    </xdr:from>
    <xdr:to>
      <xdr:col>25</xdr:col>
      <xdr:colOff>0</xdr:colOff>
      <xdr:row>18</xdr:row>
      <xdr:rowOff>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1439320E-71CA-4793-AE01-199270D505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26</xdr:col>
      <xdr:colOff>0</xdr:colOff>
      <xdr:row>13</xdr:row>
      <xdr:rowOff>0</xdr:rowOff>
    </xdr:from>
    <xdr:to>
      <xdr:col>27</xdr:col>
      <xdr:colOff>0</xdr:colOff>
      <xdr:row>18</xdr:row>
      <xdr:rowOff>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3197151D-CD66-4427-A236-3F1882028C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26</xdr:col>
      <xdr:colOff>0</xdr:colOff>
      <xdr:row>17</xdr:row>
      <xdr:rowOff>190499</xdr:rowOff>
    </xdr:from>
    <xdr:to>
      <xdr:col>27</xdr:col>
      <xdr:colOff>0</xdr:colOff>
      <xdr:row>23</xdr:row>
      <xdr:rowOff>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AAD68CA0-9C57-443E-A327-72E0B20537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24</xdr:col>
      <xdr:colOff>0</xdr:colOff>
      <xdr:row>18</xdr:row>
      <xdr:rowOff>0</xdr:rowOff>
    </xdr:from>
    <xdr:to>
      <xdr:col>25</xdr:col>
      <xdr:colOff>0</xdr:colOff>
      <xdr:row>23</xdr:row>
      <xdr:rowOff>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AFF36F1E-BD40-485A-911B-06DF9A6680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24</xdr:col>
      <xdr:colOff>0</xdr:colOff>
      <xdr:row>23</xdr:row>
      <xdr:rowOff>0</xdr:rowOff>
    </xdr:from>
    <xdr:to>
      <xdr:col>25</xdr:col>
      <xdr:colOff>0</xdr:colOff>
      <xdr:row>28</xdr:row>
      <xdr:rowOff>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AC6AC3ED-3CFE-4E98-983D-8ED41A8053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26</xdr:col>
      <xdr:colOff>0</xdr:colOff>
      <xdr:row>23</xdr:row>
      <xdr:rowOff>0</xdr:rowOff>
    </xdr:from>
    <xdr:to>
      <xdr:col>26</xdr:col>
      <xdr:colOff>1216818</xdr:colOff>
      <xdr:row>28</xdr:row>
      <xdr:rowOff>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3EAD355E-67AB-4B0F-926A-FBDDEDA52F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32</xdr:col>
      <xdr:colOff>1</xdr:colOff>
      <xdr:row>3</xdr:row>
      <xdr:rowOff>1</xdr:rowOff>
    </xdr:from>
    <xdr:to>
      <xdr:col>33</xdr:col>
      <xdr:colOff>0</xdr:colOff>
      <xdr:row>28</xdr:row>
      <xdr:rowOff>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B82A4F03-6908-47A6-BF7E-8A405B9792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17</xdr:col>
      <xdr:colOff>0</xdr:colOff>
      <xdr:row>3</xdr:row>
      <xdr:rowOff>0</xdr:rowOff>
    </xdr:from>
    <xdr:to>
      <xdr:col>23</xdr:col>
      <xdr:colOff>0</xdr:colOff>
      <xdr:row>8</xdr:row>
      <xdr:rowOff>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EB25A685-66BD-46F4-AF6B-189278E76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17</xdr:col>
      <xdr:colOff>0</xdr:colOff>
      <xdr:row>8</xdr:row>
      <xdr:rowOff>0</xdr:rowOff>
    </xdr:from>
    <xdr:to>
      <xdr:col>23</xdr:col>
      <xdr:colOff>0</xdr:colOff>
      <xdr:row>13</xdr:row>
      <xdr:rowOff>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B5727A48-9A0D-45C3-838C-F3BDDD41BA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17</xdr:col>
      <xdr:colOff>0</xdr:colOff>
      <xdr:row>13</xdr:row>
      <xdr:rowOff>0</xdr:rowOff>
    </xdr:from>
    <xdr:to>
      <xdr:col>23</xdr:col>
      <xdr:colOff>0</xdr:colOff>
      <xdr:row>18</xdr:row>
      <xdr:rowOff>0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A7F747EF-44F9-46A6-93F3-51C647F3D0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17</xdr:col>
      <xdr:colOff>1</xdr:colOff>
      <xdr:row>18</xdr:row>
      <xdr:rowOff>1</xdr:rowOff>
    </xdr:from>
    <xdr:to>
      <xdr:col>23</xdr:col>
      <xdr:colOff>0</xdr:colOff>
      <xdr:row>23</xdr:row>
      <xdr:rowOff>0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674A4533-CC3C-451D-80B6-6A8FCBB73A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17</xdr:col>
      <xdr:colOff>1</xdr:colOff>
      <xdr:row>23</xdr:row>
      <xdr:rowOff>1</xdr:rowOff>
    </xdr:from>
    <xdr:to>
      <xdr:col>23</xdr:col>
      <xdr:colOff>0</xdr:colOff>
      <xdr:row>28</xdr:row>
      <xdr:rowOff>0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735D3921-8213-4F8C-9FB0-7DCDF9F938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10</xdr:col>
      <xdr:colOff>0</xdr:colOff>
      <xdr:row>3</xdr:row>
      <xdr:rowOff>0</xdr:rowOff>
    </xdr:from>
    <xdr:to>
      <xdr:col>16</xdr:col>
      <xdr:colOff>0</xdr:colOff>
      <xdr:row>8</xdr:row>
      <xdr:rowOff>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38621830-E113-4E09-A33C-DE9566EB93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10</xdr:col>
      <xdr:colOff>0</xdr:colOff>
      <xdr:row>7</xdr:row>
      <xdr:rowOff>190499</xdr:rowOff>
    </xdr:from>
    <xdr:to>
      <xdr:col>16</xdr:col>
      <xdr:colOff>0</xdr:colOff>
      <xdr:row>13</xdr:row>
      <xdr:rowOff>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28BBE8EB-BBB0-4A90-BE59-28A106108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10</xdr:col>
      <xdr:colOff>0</xdr:colOff>
      <xdr:row>13</xdr:row>
      <xdr:rowOff>0</xdr:rowOff>
    </xdr:from>
    <xdr:to>
      <xdr:col>16</xdr:col>
      <xdr:colOff>0</xdr:colOff>
      <xdr:row>18</xdr:row>
      <xdr:rowOff>0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A036DD7E-358C-403B-8721-B679D2CB2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10</xdr:col>
      <xdr:colOff>1</xdr:colOff>
      <xdr:row>18</xdr:row>
      <xdr:rowOff>1</xdr:rowOff>
    </xdr:from>
    <xdr:to>
      <xdr:col>16</xdr:col>
      <xdr:colOff>0</xdr:colOff>
      <xdr:row>23</xdr:row>
      <xdr:rowOff>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46A966C3-1ED4-4480-94A6-CD3A36CACE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10</xdr:col>
      <xdr:colOff>1</xdr:colOff>
      <xdr:row>23</xdr:row>
      <xdr:rowOff>1</xdr:rowOff>
    </xdr:from>
    <xdr:to>
      <xdr:col>16</xdr:col>
      <xdr:colOff>0</xdr:colOff>
      <xdr:row>28</xdr:row>
      <xdr:rowOff>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648C9B1F-A7D8-4BF0-A4D4-081941131C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28</xdr:col>
      <xdr:colOff>0</xdr:colOff>
      <xdr:row>3</xdr:row>
      <xdr:rowOff>9525</xdr:rowOff>
    </xdr:from>
    <xdr:to>
      <xdr:col>29</xdr:col>
      <xdr:colOff>0</xdr:colOff>
      <xdr:row>28</xdr:row>
      <xdr:rowOff>0</xdr:rowOff>
    </xdr:to>
    <xdr:graphicFrame macro="">
      <xdr:nvGraphicFramePr>
        <xdr:cNvPr id="50" name="Chart 49">
          <a:extLst>
            <a:ext uri="{FF2B5EF4-FFF2-40B4-BE49-F238E27FC236}">
              <a16:creationId xmlns:a16="http://schemas.microsoft.com/office/drawing/2014/main" id="{FBC3256D-9F94-4696-964F-18C6EB2A8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30</xdr:col>
      <xdr:colOff>0</xdr:colOff>
      <xdr:row>4</xdr:row>
      <xdr:rowOff>0</xdr:rowOff>
    </xdr:from>
    <xdr:to>
      <xdr:col>31</xdr:col>
      <xdr:colOff>0</xdr:colOff>
      <xdr:row>8</xdr:row>
      <xdr:rowOff>0</xdr:rowOff>
    </xdr:to>
    <xdr:graphicFrame macro="">
      <xdr:nvGraphicFramePr>
        <xdr:cNvPr id="51" name="Chart 50">
          <a:extLst>
            <a:ext uri="{FF2B5EF4-FFF2-40B4-BE49-F238E27FC236}">
              <a16:creationId xmlns:a16="http://schemas.microsoft.com/office/drawing/2014/main" id="{9B2C410F-5BD7-4D67-AC89-6D03C85EB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30</xdr:col>
      <xdr:colOff>0</xdr:colOff>
      <xdr:row>14</xdr:row>
      <xdr:rowOff>0</xdr:rowOff>
    </xdr:from>
    <xdr:to>
      <xdr:col>31</xdr:col>
      <xdr:colOff>0</xdr:colOff>
      <xdr:row>18</xdr:row>
      <xdr:rowOff>0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26FB1B5E-276E-47F5-B35F-0363EA3738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30</xdr:col>
      <xdr:colOff>0</xdr:colOff>
      <xdr:row>9</xdr:row>
      <xdr:rowOff>0</xdr:rowOff>
    </xdr:from>
    <xdr:to>
      <xdr:col>31</xdr:col>
      <xdr:colOff>0</xdr:colOff>
      <xdr:row>13</xdr:row>
      <xdr:rowOff>0</xdr:rowOff>
    </xdr:to>
    <xdr:graphicFrame macro="">
      <xdr:nvGraphicFramePr>
        <xdr:cNvPr id="53" name="Chart 52">
          <a:extLst>
            <a:ext uri="{FF2B5EF4-FFF2-40B4-BE49-F238E27FC236}">
              <a16:creationId xmlns:a16="http://schemas.microsoft.com/office/drawing/2014/main" id="{91D584C3-B83B-4B88-948A-8F0C3BC1D6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30</xdr:col>
      <xdr:colOff>0</xdr:colOff>
      <xdr:row>19</xdr:row>
      <xdr:rowOff>0</xdr:rowOff>
    </xdr:from>
    <xdr:to>
      <xdr:col>31</xdr:col>
      <xdr:colOff>0</xdr:colOff>
      <xdr:row>23</xdr:row>
      <xdr:rowOff>0</xdr:rowOff>
    </xdr:to>
    <xdr:graphicFrame macro="">
      <xdr:nvGraphicFramePr>
        <xdr:cNvPr id="54" name="Chart 53">
          <a:extLst>
            <a:ext uri="{FF2B5EF4-FFF2-40B4-BE49-F238E27FC236}">
              <a16:creationId xmlns:a16="http://schemas.microsoft.com/office/drawing/2014/main" id="{094172CB-85F2-4D64-BC37-7BC74FDC64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30</xdr:col>
      <xdr:colOff>0</xdr:colOff>
      <xdr:row>24</xdr:row>
      <xdr:rowOff>0</xdr:rowOff>
    </xdr:from>
    <xdr:to>
      <xdr:col>31</xdr:col>
      <xdr:colOff>0</xdr:colOff>
      <xdr:row>28</xdr:row>
      <xdr:rowOff>0</xdr:rowOff>
    </xdr:to>
    <xdr:graphicFrame macro="">
      <xdr:nvGraphicFramePr>
        <xdr:cNvPr id="55" name="Chart 54">
          <a:extLst>
            <a:ext uri="{FF2B5EF4-FFF2-40B4-BE49-F238E27FC236}">
              <a16:creationId xmlns:a16="http://schemas.microsoft.com/office/drawing/2014/main" id="{B4F80F58-4C0D-46FD-BF2C-8869FD34E6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schieri/Google%20Drive/___PhDPrj/PhdPrj032%20-%20MIC2020/2020-11-13%20-%20presentazione/Immagini/A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schieri/Google%20Drive/___PhDPrj/PhdPrj999%20-DISSERTATION/PUB02-MIC2020/Marchioni%20Magni%20Baschieri%20-%20MIC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schieri/Google%20Drive/___PhDPrj/PhdPrj999%20-DISSERTATION/PUB03-IJPE/Magni%20Marchioni%20Baschieri%20-%20IJPE%202022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schieri/Google%20Drive/___PhDPrj/PhdPrj999%20-DISSERTATION/PUB03-IJPE/BPPV%2005.02.13%20-%20edit%20cam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schieri/Google%20Drive/___PhDPrj/PhdPrj999%20-DISSERTATION/PUB01-EUPVSEC/BPPV%2005.02.11%20-%20per%20tesi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schieri/Google%20Drive/___PhDPrj/PhdPrj999%20-DISSERTATION/PUB03-IJPE/BPPV%2005.05.04%20-%20IJPE%20TESI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3D"/>
      <sheetName val="Foglio5"/>
    </sheetNames>
    <sheetDataSet>
      <sheetData sheetId="0"/>
      <sheetData sheetId="1">
        <row r="2">
          <cell r="E2" t="str">
            <v>objective function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Assumptions"/>
      <sheetName val="Time"/>
      <sheetName val="Calc"/>
      <sheetName val="FinancStat"/>
      <sheetName val="Dashboard"/>
      <sheetName val="BS-IS-CF"/>
      <sheetName val="tables"/>
      <sheetName val="Figure 2"/>
      <sheetName val="Tables 1 2 3"/>
      <sheetName val="tool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5">
          <cell r="B5" t="str">
            <v>min( FCFE&gt;0, NetProfit&gt;0 )</v>
          </cell>
        </row>
        <row r="6">
          <cell r="B6" t="str">
            <v>min( FCFE, NetProfit )</v>
          </cell>
        </row>
        <row r="7">
          <cell r="B7" t="str">
            <v>FCFE&gt;0</v>
          </cell>
        </row>
        <row r="8">
          <cell r="B8" t="str">
            <v>FCFE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Assumptions"/>
      <sheetName val="Time"/>
      <sheetName val="Calc"/>
      <sheetName val="FinancStat"/>
      <sheetName val="Dashboard"/>
      <sheetName val="SSF"/>
      <sheetName val="SCENARIOS"/>
      <sheetName val="tables"/>
      <sheetName val="Fig 3"/>
      <sheetName val="Fig 4"/>
      <sheetName val="Fig 5"/>
      <sheetName val="DEVIATIONS"/>
      <sheetName val="tables and figures"/>
      <sheetName val="FCSI-financial"/>
      <sheetName val="Fig 8"/>
      <sheetName val="FCSI-full"/>
      <sheetName val="Fig 9"/>
      <sheetName val="Fig 10"/>
      <sheetName val="Scenarios1"/>
      <sheetName val="Scenario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35">
          <cell r="I35">
            <v>-772.68511212169142</v>
          </cell>
          <cell r="J35">
            <v>-642.60458445361382</v>
          </cell>
          <cell r="K35">
            <v>-202.75393907577597</v>
          </cell>
          <cell r="L35">
            <v>32.844201345951234</v>
          </cell>
          <cell r="M35">
            <v>651.21308262644493</v>
          </cell>
          <cell r="N35">
            <v>1331.6010975992442</v>
          </cell>
          <cell r="O35">
            <v>2215.8993473566288</v>
          </cell>
          <cell r="P35">
            <v>3041.4435688963886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>
        <row r="10">
          <cell r="B10">
            <v>5.0000000000000001E-3</v>
          </cell>
        </row>
        <row r="11">
          <cell r="B11">
            <v>1.4999999999999999E-2</v>
          </cell>
        </row>
        <row r="12">
          <cell r="B12">
            <v>0.02</v>
          </cell>
        </row>
        <row r="13">
          <cell r="B13">
            <v>2.5000000000000001E-2</v>
          </cell>
        </row>
        <row r="14">
          <cell r="B14">
            <v>0.03</v>
          </cell>
        </row>
        <row r="15">
          <cell r="B15">
            <v>3.5000000000000003E-2</v>
          </cell>
        </row>
        <row r="22">
          <cell r="C22">
            <v>5.0000000000000001E-3</v>
          </cell>
        </row>
        <row r="42">
          <cell r="B42">
            <v>980</v>
          </cell>
        </row>
        <row r="43">
          <cell r="B43">
            <v>1030</v>
          </cell>
        </row>
        <row r="44">
          <cell r="B44">
            <v>1080</v>
          </cell>
        </row>
        <row r="45">
          <cell r="B45">
            <v>1130</v>
          </cell>
        </row>
        <row r="46">
          <cell r="B46">
            <v>1180</v>
          </cell>
        </row>
        <row r="47">
          <cell r="B47">
            <v>1230</v>
          </cell>
        </row>
      </sheetData>
      <sheetData sheetId="13" refreshError="1"/>
      <sheetData sheetId="14">
        <row r="6">
          <cell r="L6">
            <v>-772.68511212169142</v>
          </cell>
          <cell r="M6">
            <v>3041.4435688963886</v>
          </cell>
        </row>
      </sheetData>
      <sheetData sheetId="15" refreshError="1"/>
      <sheetData sheetId="16">
        <row r="6">
          <cell r="L6">
            <v>-7747.6615600593641</v>
          </cell>
          <cell r="M6">
            <v>13875.962539514876</v>
          </cell>
        </row>
      </sheetData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Time"/>
      <sheetName val="Calc"/>
      <sheetName val="FinancStat"/>
      <sheetName val="Dashboard"/>
      <sheetName val="PRINT"/>
      <sheetName val="SSF"/>
      <sheetName val="SplitScreenFilm"/>
      <sheetName val="SplitScreenMatrix"/>
      <sheetName val="SA"/>
      <sheetName val="Scenarios1"/>
      <sheetName val="Scenarios2"/>
      <sheetName val="Comp"/>
      <sheetName val="Foglio1"/>
    </sheetNames>
    <sheetDataSet>
      <sheetData sheetId="0"/>
      <sheetData sheetId="1" refreshError="1"/>
      <sheetData sheetId="2" refreshError="1"/>
      <sheetData sheetId="3">
        <row r="2">
          <cell r="K2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6">
          <cell r="L6">
            <v>-772.68511212169142</v>
          </cell>
          <cell r="M6">
            <v>3041.4435688963886</v>
          </cell>
        </row>
      </sheetData>
      <sheetData sheetId="10" refreshError="1"/>
      <sheetData sheetId="11" refreshError="1"/>
      <sheetData sheetId="12">
        <row r="35">
          <cell r="I35">
            <v>-1335.0364799130693</v>
          </cell>
        </row>
      </sheetData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Assumptions"/>
      <sheetName val="Time"/>
      <sheetName val="Calc"/>
      <sheetName val="FinancStat"/>
      <sheetName val="Dashboard"/>
      <sheetName val="FCSI"/>
      <sheetName val="Figure I"/>
      <sheetName val="Figure II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L6">
            <v>-15494.882743208309</v>
          </cell>
          <cell r="M6">
            <v>84570.017042077321</v>
          </cell>
        </row>
      </sheetData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Assumptions"/>
      <sheetName val="Time"/>
      <sheetName val="Calc"/>
      <sheetName val="FinancStat"/>
      <sheetName val="Dashboard"/>
      <sheetName val="tables"/>
      <sheetName val="Fig 8"/>
      <sheetName val="Comp"/>
      <sheetName val="STEP1-8"/>
      <sheetName val="SSF"/>
      <sheetName val="Sheet1"/>
      <sheetName val="PRINT3"/>
      <sheetName val="SplitScreenFilm"/>
      <sheetName val="SplitScreenMatrix"/>
      <sheetName val="SA-full"/>
      <sheetName val="tools"/>
      <sheetName val="SA-FIN"/>
      <sheetName val="Scenarios1"/>
      <sheetName val="Scenarios2"/>
      <sheetName val="Deviations"/>
      <sheetName val="Fig 3"/>
      <sheetName val="Fig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4">
          <cell r="I44">
            <v>-772.68511212169142</v>
          </cell>
          <cell r="J44">
            <v>-642.60458445361382</v>
          </cell>
          <cell r="K44">
            <v>-202.75393907577597</v>
          </cell>
          <cell r="L44">
            <v>32.844201345951234</v>
          </cell>
          <cell r="M44">
            <v>651.21308262644493</v>
          </cell>
          <cell r="N44">
            <v>1331.6010975992442</v>
          </cell>
          <cell r="O44">
            <v>2215.8993473566288</v>
          </cell>
          <cell r="P44">
            <v>3041.4435688963886</v>
          </cell>
        </row>
      </sheetData>
      <sheetData sheetId="9"/>
      <sheetData sheetId="10"/>
      <sheetData sheetId="11"/>
      <sheetData sheetId="12"/>
      <sheetData sheetId="13"/>
      <sheetData sheetId="14"/>
      <sheetData sheetId="15">
        <row r="4">
          <cell r="L4" t="str">
            <v>BASE CASE NEGATIVE</v>
          </cell>
        </row>
      </sheetData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1A1ECD8-1D0D-435F-82FB-A061C44CB2FB}">
  <we:reference id="wa104381504" version="1.0.0.0" store="en-US" storeType="OMEX"/>
  <we:alternateReferences>
    <we:reference id="wa104381504" version="1.0.0.0" store="WA104381504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dpi.com/1911-8074/16/3/157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11593-B6D3-4B15-BF76-46DE242C00E8}">
  <sheetPr codeName="Sheet1">
    <tabColor rgb="FF002060"/>
  </sheetPr>
  <dimension ref="A1:G51"/>
  <sheetViews>
    <sheetView showGridLines="0" showRowColHeaders="0" topLeftCell="A7" zoomScaleNormal="100" workbookViewId="0">
      <selection activeCell="G10" sqref="G10"/>
    </sheetView>
  </sheetViews>
  <sheetFormatPr defaultColWidth="0" defaultRowHeight="0" customHeight="1" zeroHeight="1" x14ac:dyDescent="0.3"/>
  <cols>
    <col min="1" max="1" width="3.5546875" style="653" customWidth="1"/>
    <col min="2" max="2" width="5.6640625" style="653" customWidth="1"/>
    <col min="3" max="3" width="115.5546875" style="653" customWidth="1"/>
    <col min="4" max="4" width="5.6640625" style="653" customWidth="1"/>
    <col min="5" max="5" width="3.5546875" style="653" customWidth="1"/>
    <col min="6" max="7" width="0" style="653" hidden="1" customWidth="1"/>
    <col min="8" max="16384" width="9.109375" style="653" hidden="1"/>
  </cols>
  <sheetData>
    <row r="1" spans="1:5" ht="13.8" thickBot="1" x14ac:dyDescent="0.35">
      <c r="A1" s="651"/>
      <c r="B1" s="652"/>
      <c r="C1" s="652"/>
      <c r="D1" s="668"/>
      <c r="E1" s="651"/>
    </row>
    <row r="2" spans="1:5" ht="30" customHeight="1" thickTop="1" x14ac:dyDescent="0.3">
      <c r="A2" s="654"/>
      <c r="B2" s="655"/>
      <c r="C2" s="656"/>
      <c r="D2" s="670"/>
      <c r="E2" s="667"/>
    </row>
    <row r="3" spans="1:5" ht="24.6" x14ac:dyDescent="0.3">
      <c r="A3" s="654"/>
      <c r="B3" s="657"/>
      <c r="C3" s="665" t="s">
        <v>588</v>
      </c>
      <c r="D3" s="658"/>
      <c r="E3" s="667"/>
    </row>
    <row r="4" spans="1:5" ht="13.2" x14ac:dyDescent="0.3">
      <c r="A4" s="654"/>
      <c r="B4" s="657"/>
      <c r="C4" s="666" t="s">
        <v>889</v>
      </c>
      <c r="D4" s="658"/>
      <c r="E4" s="667"/>
    </row>
    <row r="5" spans="1:5" ht="34.799999999999997" x14ac:dyDescent="0.3">
      <c r="A5" s="654"/>
      <c r="B5" s="657"/>
      <c r="C5" s="797" t="s">
        <v>684</v>
      </c>
      <c r="D5" s="658"/>
      <c r="E5" s="667"/>
    </row>
    <row r="6" spans="1:5" ht="13.2" x14ac:dyDescent="0.3">
      <c r="A6" s="654"/>
      <c r="B6" s="659"/>
      <c r="C6" s="660"/>
      <c r="D6" s="658"/>
      <c r="E6" s="667"/>
    </row>
    <row r="7" spans="1:5" ht="13.2" x14ac:dyDescent="0.3">
      <c r="A7" s="654"/>
      <c r="B7" s="657"/>
      <c r="C7" s="661" t="s">
        <v>585</v>
      </c>
      <c r="D7" s="658"/>
      <c r="E7" s="667"/>
    </row>
    <row r="8" spans="1:5" ht="26.4" x14ac:dyDescent="0.3">
      <c r="A8" s="654"/>
      <c r="B8" s="657"/>
      <c r="C8" s="662" t="s">
        <v>685</v>
      </c>
      <c r="D8" s="658"/>
      <c r="E8" s="667"/>
    </row>
    <row r="9" spans="1:5" ht="13.2" x14ac:dyDescent="0.3">
      <c r="A9" s="654"/>
      <c r="B9" s="657"/>
      <c r="C9" s="663" t="s">
        <v>586</v>
      </c>
      <c r="D9" s="658"/>
      <c r="E9" s="667"/>
    </row>
    <row r="10" spans="1:5" ht="30" customHeight="1" thickBot="1" x14ac:dyDescent="0.35">
      <c r="A10" s="654"/>
      <c r="B10" s="845"/>
      <c r="C10" s="846"/>
      <c r="D10" s="847"/>
      <c r="E10" s="667"/>
    </row>
    <row r="11" spans="1:5" ht="14.4" thickTop="1" thickBot="1" x14ac:dyDescent="0.35">
      <c r="A11" s="841"/>
      <c r="B11" s="848"/>
      <c r="C11" s="857" t="s">
        <v>712</v>
      </c>
      <c r="D11" s="849"/>
      <c r="E11" s="667"/>
    </row>
    <row r="12" spans="1:5" ht="14.4" thickTop="1" thickBot="1" x14ac:dyDescent="0.35">
      <c r="A12" s="654"/>
      <c r="B12" s="848"/>
      <c r="C12" s="850"/>
      <c r="D12" s="849"/>
      <c r="E12" s="667"/>
    </row>
    <row r="13" spans="1:5" s="843" customFormat="1" ht="13.2" thickTop="1" thickBot="1" x14ac:dyDescent="0.35">
      <c r="A13" s="842"/>
      <c r="B13" s="851"/>
      <c r="C13" s="852" t="s">
        <v>870</v>
      </c>
      <c r="D13" s="853"/>
      <c r="E13" s="844"/>
    </row>
    <row r="14" spans="1:5" s="843" customFormat="1" ht="25.2" thickTop="1" thickBot="1" x14ac:dyDescent="0.35">
      <c r="A14" s="842"/>
      <c r="B14" s="851"/>
      <c r="C14" s="858" t="s">
        <v>710</v>
      </c>
      <c r="D14" s="853"/>
      <c r="E14" s="844"/>
    </row>
    <row r="15" spans="1:5" s="843" customFormat="1" ht="13.2" thickTop="1" thickBot="1" x14ac:dyDescent="0.35">
      <c r="A15" s="842"/>
      <c r="B15" s="851"/>
      <c r="C15" s="859" t="s">
        <v>711</v>
      </c>
      <c r="D15" s="853"/>
      <c r="E15" s="844"/>
    </row>
    <row r="16" spans="1:5" ht="30" customHeight="1" thickTop="1" thickBot="1" x14ac:dyDescent="0.35">
      <c r="A16" s="841"/>
      <c r="B16" s="854"/>
      <c r="C16" s="855"/>
      <c r="D16" s="856"/>
      <c r="E16" s="667"/>
    </row>
    <row r="17" spans="1:5" ht="13.8" thickTop="1" x14ac:dyDescent="0.3">
      <c r="A17" s="652"/>
      <c r="B17" s="664"/>
      <c r="C17" s="664"/>
      <c r="D17" s="669"/>
      <c r="E17" s="651"/>
    </row>
    <row r="18" spans="1:5" s="651" customFormat="1" ht="13.2" hidden="1" x14ac:dyDescent="0.3"/>
    <row r="19" spans="1:5" s="651" customFormat="1" ht="13.2" hidden="1" x14ac:dyDescent="0.3"/>
    <row r="49" s="653" customFormat="1" ht="0" hidden="1" customHeight="1" x14ac:dyDescent="0.3"/>
    <row r="50" s="653" customFormat="1" ht="0" hidden="1" customHeight="1" x14ac:dyDescent="0.3"/>
    <row r="51" s="653" customFormat="1" ht="0" hidden="1" customHeight="1" x14ac:dyDescent="0.3"/>
  </sheetData>
  <sheetProtection insertHyperlinks="0" selectLockedCells="1" selectUnlockedCells="1"/>
  <hyperlinks>
    <hyperlink ref="C15" r:id="rId1" xr:uid="{AF98A608-167C-4546-8F2B-F4165CB86E74}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0470E-529E-46F5-AAD0-17F6803F5D7F}">
  <sheetPr codeName="Sheet8">
    <tabColor rgb="FFC00000"/>
  </sheetPr>
  <dimension ref="C1:R77"/>
  <sheetViews>
    <sheetView zoomScaleNormal="100" workbookViewId="0">
      <pane ySplit="3" topLeftCell="A7" activePane="bottomLeft" state="frozen"/>
      <selection activeCell="L6" sqref="L6"/>
      <selection pane="bottomLeft" activeCell="A4" sqref="A4"/>
    </sheetView>
  </sheetViews>
  <sheetFormatPr defaultColWidth="9.109375" defaultRowHeight="13.2" x14ac:dyDescent="0.3"/>
  <cols>
    <col min="1" max="3" width="3.5546875" style="260" customWidth="1"/>
    <col min="4" max="4" width="12.88671875" style="260" customWidth="1"/>
    <col min="5" max="5" width="10.33203125" style="260" customWidth="1"/>
    <col min="6" max="6" width="9.6640625" style="260" customWidth="1"/>
    <col min="7" max="7" width="12.6640625" style="260" bestFit="1" customWidth="1"/>
    <col min="8" max="8" width="8.6640625" style="260" bestFit="1" customWidth="1"/>
    <col min="9" max="9" width="13.6640625" style="260" bestFit="1" customWidth="1"/>
    <col min="10" max="10" width="8.6640625" style="260" bestFit="1" customWidth="1"/>
    <col min="11" max="11" width="12.88671875" style="260" customWidth="1"/>
    <col min="12" max="12" width="16.44140625" style="260" customWidth="1"/>
    <col min="13" max="15" width="12.88671875" style="260" customWidth="1"/>
    <col min="16" max="16384" width="9.109375" style="260"/>
  </cols>
  <sheetData>
    <row r="1" spans="3:18" ht="37.5" customHeight="1" thickBot="1" x14ac:dyDescent="0.35"/>
    <row r="2" spans="3:18" s="457" customFormat="1" ht="21.6" thickBot="1" x14ac:dyDescent="0.35">
      <c r="C2" s="460" t="s">
        <v>108</v>
      </c>
    </row>
    <row r="3" spans="3:18" ht="13.8" thickBot="1" x14ac:dyDescent="0.35">
      <c r="C3" s="259"/>
    </row>
    <row r="4" spans="3:18" s="457" customFormat="1" ht="16.8" thickBot="1" x14ac:dyDescent="0.35">
      <c r="C4" s="458"/>
      <c r="D4" s="459" t="s">
        <v>178</v>
      </c>
      <c r="E4" s="459"/>
      <c r="F4" s="459"/>
      <c r="G4" s="459"/>
      <c r="H4" s="459"/>
      <c r="I4" s="459"/>
      <c r="J4" s="459"/>
    </row>
    <row r="5" spans="3:18" ht="13.8" thickBot="1" x14ac:dyDescent="0.35">
      <c r="C5" s="124"/>
      <c r="E5" s="125"/>
      <c r="F5" s="11"/>
      <c r="G5" s="11"/>
      <c r="H5" s="11"/>
      <c r="I5" s="126"/>
      <c r="J5" s="126"/>
      <c r="K5" s="126"/>
      <c r="L5" s="126"/>
      <c r="M5" s="261"/>
      <c r="N5" s="261"/>
      <c r="O5" s="262"/>
      <c r="P5" s="262"/>
      <c r="Q5" s="263"/>
      <c r="R5" s="127"/>
    </row>
    <row r="6" spans="3:18" ht="13.8" thickBot="1" x14ac:dyDescent="0.35">
      <c r="E6" s="259" t="s">
        <v>179</v>
      </c>
      <c r="F6" s="477">
        <v>0</v>
      </c>
      <c r="G6" s="478">
        <v>1</v>
      </c>
      <c r="H6" s="478">
        <v>2</v>
      </c>
      <c r="I6" s="478">
        <v>3</v>
      </c>
      <c r="J6" s="478">
        <v>4</v>
      </c>
      <c r="K6" s="479">
        <v>5</v>
      </c>
      <c r="L6" s="265"/>
    </row>
    <row r="7" spans="3:18" s="38" customFormat="1" ht="7.2" thickBot="1" x14ac:dyDescent="0.35">
      <c r="E7" s="480"/>
      <c r="G7" s="481"/>
      <c r="H7" s="42"/>
      <c r="I7" s="42"/>
      <c r="J7" s="42"/>
      <c r="K7" s="482"/>
      <c r="L7" s="482"/>
      <c r="M7" s="483"/>
      <c r="N7" s="483"/>
      <c r="O7" s="484"/>
      <c r="P7" s="484"/>
      <c r="Q7" s="485"/>
      <c r="R7" s="486"/>
    </row>
    <row r="8" spans="3:18" ht="17.399999999999999" thickBot="1" x14ac:dyDescent="0.35">
      <c r="E8" s="259"/>
      <c r="F8" s="461" t="s">
        <v>245</v>
      </c>
      <c r="G8" s="462" t="s">
        <v>246</v>
      </c>
      <c r="H8" s="462" t="s">
        <v>247</v>
      </c>
      <c r="I8" s="462" t="s">
        <v>248</v>
      </c>
      <c r="J8" s="462" t="s">
        <v>249</v>
      </c>
      <c r="K8" s="463" t="s">
        <v>250</v>
      </c>
      <c r="L8" s="464" t="s">
        <v>621</v>
      </c>
    </row>
    <row r="9" spans="3:18" x14ac:dyDescent="0.3">
      <c r="E9" s="471" t="s">
        <v>156</v>
      </c>
      <c r="F9" s="701">
        <f xml:space="preserve"> (-1) * INDEX( SplitScreenStrip!$98:$101, MATCH( $E9, SplitScreenStrip!$B$98:$B$101, 0 ), MATCH( F$6, SplitScreenStrip!$9:$9, 0 ) )</f>
        <v>0</v>
      </c>
      <c r="G9" s="702">
        <f xml:space="preserve"> (-1) * INDEX( SplitScreenStrip!$98:$101, MATCH( $E9, SplitScreenStrip!$B$98:$B$101, 0 ), MATCH( G$6, SplitScreenStrip!$9:$9, 0 ) )</f>
        <v>-2324.5018785353204</v>
      </c>
      <c r="H9" s="702">
        <f xml:space="preserve"> (-1) * INDEX( SplitScreenStrip!$98:$101, MATCH( $E9, SplitScreenStrip!$B$98:$B$101, 0 ), MATCH( H$6, SplitScreenStrip!$9:$9, 0 ) )</f>
        <v>-1166.2885952471252</v>
      </c>
      <c r="I9" s="702">
        <f xml:space="preserve"> (-1) * INDEX( SplitScreenStrip!$98:$101, MATCH( $E9, SplitScreenStrip!$B$98:$B$101, 0 ), MATCH( I$6, SplitScreenStrip!$9:$9, 0 ) )</f>
        <v>100.37957592471048</v>
      </c>
      <c r="J9" s="702">
        <f xml:space="preserve"> (-1) * INDEX( SplitScreenStrip!$98:$101, MATCH( $E9, SplitScreenStrip!$B$98:$B$101, 0 ), MATCH( J$6, SplitScreenStrip!$9:$9, 0 ) )</f>
        <v>1639.0493602735419</v>
      </c>
      <c r="K9" s="703">
        <f xml:space="preserve"> (-1) * INDEX( SplitScreenStrip!$98:$101, MATCH( $E9, SplitScreenStrip!$B$98:$B$101, 0 ), MATCH( K$6, SplitScreenStrip!$9:$9, 0 ) )</f>
        <v>3498.8740611529875</v>
      </c>
      <c r="L9" s="704">
        <f xml:space="preserve"> SUM( F9:K9 )</f>
        <v>1747.5125235687942</v>
      </c>
      <c r="M9" s="264"/>
    </row>
    <row r="10" spans="3:18" ht="13.8" thickBot="1" x14ac:dyDescent="0.35">
      <c r="E10" s="472" t="s">
        <v>157</v>
      </c>
      <c r="F10" s="705">
        <f xml:space="preserve"> (-1) * INDEX( SplitScreenStrip!$98:$101, MATCH( $E10, SplitScreenStrip!$B$98:$B$101, 0 ), MATCH( F$6, SplitScreenStrip!$9:$9, 0 ) )</f>
        <v>0</v>
      </c>
      <c r="G10" s="706">
        <f xml:space="preserve"> (-1) * INDEX( SplitScreenStrip!$98:$101, MATCH( $E10, SplitScreenStrip!$B$98:$B$101, 0 ), MATCH( G$6, SplitScreenStrip!$9:$9, 0 ) )</f>
        <v>-58.414736259202812</v>
      </c>
      <c r="H10" s="706">
        <f xml:space="preserve"> (-1) * INDEX( SplitScreenStrip!$98:$101, MATCH( $E10, SplitScreenStrip!$B$98:$B$101, 0 ), MATCH( H$6, SplitScreenStrip!$9:$9, 0 ) )</f>
        <v>-10.445876772479837</v>
      </c>
      <c r="I10" s="706">
        <f xml:space="preserve"> (-1) * INDEX( SplitScreenStrip!$98:$101, MATCH( $E10, SplitScreenStrip!$B$98:$B$101, 0 ), MATCH( I$6, SplitScreenStrip!$9:$9, 0 ) )</f>
        <v>34.039757240617305</v>
      </c>
      <c r="J10" s="706">
        <f xml:space="preserve"> (-1) * INDEX( SplitScreenStrip!$98:$101, MATCH( $E10, SplitScreenStrip!$B$98:$B$101, 0 ), MATCH( J$6, SplitScreenStrip!$9:$9, 0 ) )</f>
        <v>90.628773961270127</v>
      </c>
      <c r="K10" s="707">
        <f xml:space="preserve"> (-1) * INDEX( SplitScreenStrip!$98:$101, MATCH( $E10, SplitScreenStrip!$B$98:$B$101, 0 ), MATCH( K$6, SplitScreenStrip!$9:$9, 0 ) )</f>
        <v>160.66570775008148</v>
      </c>
      <c r="L10" s="708">
        <f xml:space="preserve"> SUM( F10:K10 )</f>
        <v>216.47362592028628</v>
      </c>
    </row>
    <row r="11" spans="3:18" ht="13.8" thickTop="1" x14ac:dyDescent="0.3">
      <c r="E11" s="473" t="s">
        <v>158</v>
      </c>
      <c r="F11" s="709">
        <f xml:space="preserve"> (-1) * INDEX( SplitScreenStrip!$98:$101, MATCH( $E11, SplitScreenStrip!$B$98:$B$101, 0 ), MATCH( F$6, SplitScreenStrip!$9:$9, 0 ) )</f>
        <v>0</v>
      </c>
      <c r="G11" s="710">
        <f xml:space="preserve"> (-1) * INDEX( SplitScreenStrip!$98:$101, MATCH( $E11, SplitScreenStrip!$B$98:$B$101, 0 ), MATCH( G$6, SplitScreenStrip!$9:$9, 0 ) )</f>
        <v>57.391739675488481</v>
      </c>
      <c r="H11" s="710">
        <f xml:space="preserve"> (-1) * INDEX( SplitScreenStrip!$98:$101, MATCH( $E11, SplitScreenStrip!$B$98:$B$101, 0 ), MATCH( H$6, SplitScreenStrip!$9:$9, 0 ) )</f>
        <v>46.252615770620821</v>
      </c>
      <c r="I11" s="710">
        <f xml:space="preserve"> (-1) * INDEX( SplitScreenStrip!$98:$101, MATCH( $E11, SplitScreenStrip!$B$98:$B$101, 0 ), MATCH( I$6, SplitScreenStrip!$9:$9, 0 ) )</f>
        <v>34.946405007180132</v>
      </c>
      <c r="J11" s="710">
        <f xml:space="preserve"> (-1) * INDEX( SplitScreenStrip!$98:$101, MATCH( $E11, SplitScreenStrip!$B$98:$B$101, 0 ), MATCH( J$6, SplitScreenStrip!$9:$9, 0 ) )</f>
        <v>23.470601082287857</v>
      </c>
      <c r="K11" s="711">
        <f xml:space="preserve"> (-1) * INDEX( SplitScreenStrip!$98:$101, MATCH( $E11, SplitScreenStrip!$B$98:$B$101, 0 ), MATCH( K$6, SplitScreenStrip!$9:$9, 0 ) )</f>
        <v>11.822660098522171</v>
      </c>
      <c r="L11" s="712">
        <f xml:space="preserve"> SUM( F11:K11 )</f>
        <v>173.88402163409944</v>
      </c>
    </row>
    <row r="12" spans="3:18" ht="13.8" thickBot="1" x14ac:dyDescent="0.35">
      <c r="E12" s="474" t="s">
        <v>159</v>
      </c>
      <c r="F12" s="713">
        <f xml:space="preserve"> (-1) * INDEX( SplitScreenStrip!$98:$101, MATCH( $E12, SplitScreenStrip!$B$98:$B$101, 0 ), MATCH( F$6, SplitScreenStrip!$9:$9, 0 ) )</f>
        <v>0</v>
      </c>
      <c r="G12" s="714">
        <f xml:space="preserve"> (-1) * INDEX( SplitScreenStrip!$98:$101, MATCH( $E12, SplitScreenStrip!$B$98:$B$101, 0 ), MATCH( G$6, SplitScreenStrip!$9:$9, 0 ) )</f>
        <v>-2440.3083544700121</v>
      </c>
      <c r="H12" s="714">
        <f xml:space="preserve"> (-1) * INDEX( SplitScreenStrip!$98:$101, MATCH( $E12, SplitScreenStrip!$B$98:$B$101, 0 ), MATCH( H$6, SplitScreenStrip!$9:$9, 0 ) )</f>
        <v>-1222.9870877902258</v>
      </c>
      <c r="I12" s="714">
        <f xml:space="preserve"> (-1) * INDEX( SplitScreenStrip!$98:$101, MATCH( $E12, SplitScreenStrip!$B$98:$B$101, 0 ), MATCH( I$6, SplitScreenStrip!$9:$9, 0 ) )</f>
        <v>99.472928158147624</v>
      </c>
      <c r="J12" s="714">
        <f xml:space="preserve"> (-1) * INDEX( SplitScreenStrip!$98:$101, MATCH( $E12, SplitScreenStrip!$B$98:$B$101, 0 ), MATCH( J$6, SplitScreenStrip!$9:$9, 0 ) )</f>
        <v>1706.2075331525243</v>
      </c>
      <c r="K12" s="715">
        <f xml:space="preserve"> (-1) * INDEX( SplitScreenStrip!$98:$101, MATCH( $E12, SplitScreenStrip!$B$98:$B$101, 0 ), MATCH( K$6, SplitScreenStrip!$9:$9, 0 ) )</f>
        <v>3647.7171088045457</v>
      </c>
      <c r="L12" s="716">
        <f xml:space="preserve"> SUM( F12:K12 )</f>
        <v>1790.1021278549797</v>
      </c>
    </row>
    <row r="13" spans="3:18" s="62" customFormat="1" ht="4.8" thickBot="1" x14ac:dyDescent="0.35">
      <c r="E13" s="254"/>
      <c r="F13" s="717"/>
      <c r="G13" s="717"/>
      <c r="H13" s="717"/>
      <c r="I13" s="717"/>
      <c r="J13" s="717"/>
      <c r="K13" s="717"/>
      <c r="L13" s="717"/>
    </row>
    <row r="14" spans="3:18" ht="13.8" thickBot="1" x14ac:dyDescent="0.35">
      <c r="E14" s="475" t="s">
        <v>40</v>
      </c>
      <c r="F14" s="718">
        <f t="shared" ref="F14:K14" si="0" xml:space="preserve"> SUM( F9:F10 )</f>
        <v>0</v>
      </c>
      <c r="G14" s="719">
        <f t="shared" si="0"/>
        <v>-2382.9166147945234</v>
      </c>
      <c r="H14" s="719">
        <f t="shared" si="0"/>
        <v>-1176.7344720196049</v>
      </c>
      <c r="I14" s="719">
        <f t="shared" si="0"/>
        <v>134.41933316532777</v>
      </c>
      <c r="J14" s="719">
        <f t="shared" si="0"/>
        <v>1729.678134234812</v>
      </c>
      <c r="K14" s="720">
        <f t="shared" si="0"/>
        <v>3659.5397689030688</v>
      </c>
      <c r="L14" s="721">
        <f xml:space="preserve"> SUM( F14:K14 )</f>
        <v>1963.9861494890799</v>
      </c>
    </row>
    <row r="15" spans="3:18" ht="14.4" thickTop="1" thickBot="1" x14ac:dyDescent="0.35">
      <c r="E15" s="476" t="s">
        <v>41</v>
      </c>
      <c r="F15" s="722">
        <f t="shared" ref="F15:K15" si="1" xml:space="preserve"> SUM( F11:F12 )</f>
        <v>0</v>
      </c>
      <c r="G15" s="723">
        <f t="shared" si="1"/>
        <v>-2382.9166147945234</v>
      </c>
      <c r="H15" s="723">
        <f t="shared" si="1"/>
        <v>-1176.7344720196049</v>
      </c>
      <c r="I15" s="723">
        <f t="shared" si="1"/>
        <v>134.41933316532777</v>
      </c>
      <c r="J15" s="723">
        <f t="shared" si="1"/>
        <v>1729.6781342348122</v>
      </c>
      <c r="K15" s="724">
        <f t="shared" si="1"/>
        <v>3659.5397689030679</v>
      </c>
      <c r="L15" s="725">
        <f xml:space="preserve"> SUM( F15:K15 )</f>
        <v>1963.9861494890793</v>
      </c>
    </row>
    <row r="16" spans="3:18" s="492" customFormat="1" ht="13.8" thickBot="1" x14ac:dyDescent="0.35">
      <c r="C16" s="493"/>
      <c r="E16" s="494"/>
      <c r="F16" s="495"/>
      <c r="G16" s="495"/>
      <c r="H16" s="495"/>
      <c r="I16" s="496"/>
      <c r="J16" s="496"/>
      <c r="K16" s="496"/>
      <c r="L16" s="496"/>
      <c r="M16" s="497"/>
      <c r="N16" s="497"/>
      <c r="O16" s="498"/>
      <c r="P16" s="498"/>
      <c r="Q16" s="499"/>
      <c r="R16" s="500"/>
    </row>
    <row r="17" spans="3:18" s="501" customFormat="1" ht="14.4" thickTop="1" thickBot="1" x14ac:dyDescent="0.35">
      <c r="D17" s="502"/>
      <c r="F17" s="503"/>
      <c r="G17" s="504"/>
      <c r="H17" s="504"/>
      <c r="I17" s="504"/>
      <c r="J17" s="505"/>
      <c r="K17" s="505"/>
      <c r="L17" s="505"/>
      <c r="M17" s="505"/>
      <c r="N17" s="506"/>
      <c r="O17" s="506"/>
      <c r="P17" s="507"/>
      <c r="Q17" s="508"/>
      <c r="R17" s="509"/>
    </row>
    <row r="18" spans="3:18" ht="37.5" customHeight="1" thickBot="1" x14ac:dyDescent="0.35">
      <c r="E18" s="488"/>
      <c r="F18" s="489"/>
      <c r="G18" s="488"/>
      <c r="H18" s="489"/>
      <c r="I18" s="488"/>
      <c r="J18" s="489"/>
      <c r="K18" s="488"/>
      <c r="L18" s="489"/>
      <c r="M18" s="488"/>
      <c r="N18" s="489"/>
    </row>
    <row r="19" spans="3:18" s="62" customFormat="1" ht="4.8" thickBot="1" x14ac:dyDescent="0.35">
      <c r="D19" s="254"/>
      <c r="E19" s="487"/>
      <c r="F19" s="255"/>
      <c r="G19" s="487"/>
      <c r="H19" s="255"/>
      <c r="I19" s="487"/>
      <c r="J19" s="255"/>
      <c r="K19" s="487"/>
      <c r="L19" s="255"/>
      <c r="M19" s="487"/>
      <c r="N19" s="255"/>
    </row>
    <row r="20" spans="3:18" ht="14.4" x14ac:dyDescent="0.3">
      <c r="E20" s="468" t="s">
        <v>469</v>
      </c>
      <c r="F20" s="978">
        <f xml:space="preserve"> TransMatrix!P9</f>
        <v>77887.755136986307</v>
      </c>
      <c r="G20" s="465" t="s">
        <v>470</v>
      </c>
      <c r="H20" s="974">
        <f xml:space="preserve"> TransMatrix!P19</f>
        <v>16384.869904957293</v>
      </c>
      <c r="I20" s="454" t="s">
        <v>471</v>
      </c>
      <c r="J20" s="315">
        <f xml:space="preserve"> TransMatrix!P29</f>
        <v>16384.869904957293</v>
      </c>
      <c r="K20" s="451" t="s">
        <v>472</v>
      </c>
      <c r="L20" s="315">
        <f xml:space="preserve"> TransMatrix!P52</f>
        <v>14637.357381388498</v>
      </c>
      <c r="M20" s="454" t="s">
        <v>473</v>
      </c>
      <c r="N20" s="315">
        <f xml:space="preserve"> TransMatrix!P62</f>
        <v>14637.35738138849</v>
      </c>
    </row>
    <row r="21" spans="3:18" ht="15" thickBot="1" x14ac:dyDescent="0.35">
      <c r="E21" s="469" t="s">
        <v>474</v>
      </c>
      <c r="F21" s="979">
        <f xml:space="preserve"> TransMatrix!P10</f>
        <v>15224.01267236119</v>
      </c>
      <c r="G21" s="466" t="s">
        <v>475</v>
      </c>
      <c r="H21" s="975">
        <f xml:space="preserve"> TransMatrix!P20</f>
        <v>380.60031680902972</v>
      </c>
      <c r="I21" s="455" t="s">
        <v>476</v>
      </c>
      <c r="J21" s="316">
        <f xml:space="preserve"> TransMatrix!P30</f>
        <v>380.60031680902466</v>
      </c>
      <c r="K21" s="452" t="s">
        <v>477</v>
      </c>
      <c r="L21" s="316">
        <f xml:space="preserve"> TransMatrix!P53</f>
        <v>164.12669088874344</v>
      </c>
      <c r="M21" s="455" t="s">
        <v>478</v>
      </c>
      <c r="N21" s="316">
        <f xml:space="preserve"> TransMatrix!P63</f>
        <v>164.12669088874463</v>
      </c>
    </row>
    <row r="22" spans="3:18" ht="15.6" thickTop="1" thickBot="1" x14ac:dyDescent="0.35">
      <c r="E22" s="470" t="s">
        <v>479</v>
      </c>
      <c r="F22" s="980">
        <f xml:space="preserve"> TransMatrix!P11</f>
        <v>93111.767809347482</v>
      </c>
      <c r="G22" s="467" t="s">
        <v>480</v>
      </c>
      <c r="H22" s="976">
        <f xml:space="preserve"> TransMatrix!P21</f>
        <v>16765.470221766322</v>
      </c>
      <c r="I22" s="456" t="s">
        <v>481</v>
      </c>
      <c r="J22" s="314">
        <f xml:space="preserve"> TransMatrix!P31</f>
        <v>16765.470221766322</v>
      </c>
      <c r="K22" s="453" t="s">
        <v>482</v>
      </c>
      <c r="L22" s="314">
        <f xml:space="preserve"> TransMatrix!P54</f>
        <v>14801.484072277242</v>
      </c>
      <c r="M22" s="456" t="s">
        <v>483</v>
      </c>
      <c r="N22" s="314">
        <f xml:space="preserve"> TransMatrix!P64</f>
        <v>14801.484072277237</v>
      </c>
    </row>
    <row r="23" spans="3:18" s="62" customFormat="1" ht="4.8" thickBot="1" x14ac:dyDescent="0.35">
      <c r="D23" s="254"/>
      <c r="E23" s="312"/>
      <c r="F23" s="977"/>
      <c r="G23" s="312"/>
      <c r="H23" s="977"/>
      <c r="I23" s="312"/>
      <c r="J23" s="313"/>
      <c r="K23" s="312"/>
      <c r="L23" s="313"/>
      <c r="M23" s="312"/>
      <c r="N23" s="313"/>
    </row>
    <row r="24" spans="3:18" ht="14.4" x14ac:dyDescent="0.3">
      <c r="E24" s="367" t="s">
        <v>484</v>
      </c>
      <c r="F24" s="978">
        <f xml:space="preserve"> TransMatrix!P13</f>
        <v>36000</v>
      </c>
      <c r="G24" s="451" t="s">
        <v>485</v>
      </c>
      <c r="H24" s="974">
        <f xml:space="preserve"> TransMatrix!P23</f>
        <v>720</v>
      </c>
      <c r="I24" s="454" t="s">
        <v>486</v>
      </c>
      <c r="J24" s="315">
        <f xml:space="preserve"> TransMatrix!P33</f>
        <v>720</v>
      </c>
      <c r="K24" s="451" t="s">
        <v>487</v>
      </c>
      <c r="L24" s="315">
        <f xml:space="preserve"> TransMatrix!P56</f>
        <v>546.11597836590045</v>
      </c>
      <c r="M24" s="454" t="s">
        <v>488</v>
      </c>
      <c r="N24" s="315">
        <f xml:space="preserve"> TransMatrix!P66</f>
        <v>546.11597836589863</v>
      </c>
    </row>
    <row r="25" spans="3:18" ht="15" thickBot="1" x14ac:dyDescent="0.35">
      <c r="E25" s="368" t="s">
        <v>489</v>
      </c>
      <c r="F25" s="979">
        <f xml:space="preserve"> TransMatrix!P14</f>
        <v>57111.767809347497</v>
      </c>
      <c r="G25" s="452" t="s">
        <v>490</v>
      </c>
      <c r="H25" s="975">
        <f xml:space="preserve"> TransMatrix!P24</f>
        <v>16045.470221766322</v>
      </c>
      <c r="I25" s="455" t="s">
        <v>491</v>
      </c>
      <c r="J25" s="316">
        <f xml:space="preserve"> TransMatrix!P34</f>
        <v>16045.470221766318</v>
      </c>
      <c r="K25" s="452" t="s">
        <v>492</v>
      </c>
      <c r="L25" s="316">
        <f xml:space="preserve"> TransMatrix!P57</f>
        <v>14255.368093911342</v>
      </c>
      <c r="M25" s="455" t="s">
        <v>493</v>
      </c>
      <c r="N25" s="316">
        <f xml:space="preserve"> TransMatrix!P67</f>
        <v>14255.368093911336</v>
      </c>
    </row>
    <row r="26" spans="3:18" ht="15.6" thickTop="1" thickBot="1" x14ac:dyDescent="0.35">
      <c r="E26" s="369" t="s">
        <v>494</v>
      </c>
      <c r="F26" s="980">
        <f xml:space="preserve"> TransMatrix!P15</f>
        <v>93111.767809347497</v>
      </c>
      <c r="G26" s="453" t="s">
        <v>495</v>
      </c>
      <c r="H26" s="976">
        <f xml:space="preserve"> TransMatrix!P25</f>
        <v>16765.470221766322</v>
      </c>
      <c r="I26" s="456" t="s">
        <v>496</v>
      </c>
      <c r="J26" s="314">
        <f xml:space="preserve"> TransMatrix!P35</f>
        <v>16765.470221766322</v>
      </c>
      <c r="K26" s="453" t="s">
        <v>497</v>
      </c>
      <c r="L26" s="314">
        <f xml:space="preserve"> TransMatrix!P58</f>
        <v>14801.484072277242</v>
      </c>
      <c r="M26" s="456" t="s">
        <v>498</v>
      </c>
      <c r="N26" s="314">
        <f xml:space="preserve"> TransMatrix!P68</f>
        <v>14801.484072277237</v>
      </c>
    </row>
    <row r="27" spans="3:18" ht="13.8" thickBot="1" x14ac:dyDescent="0.35"/>
    <row r="28" spans="3:18" ht="27" thickBot="1" x14ac:dyDescent="0.35">
      <c r="E28" s="490" t="s">
        <v>95</v>
      </c>
      <c r="F28" s="491"/>
      <c r="G28" s="490" t="s">
        <v>547</v>
      </c>
      <c r="H28" s="491"/>
      <c r="I28" s="490" t="s">
        <v>879</v>
      </c>
      <c r="J28" s="491"/>
    </row>
    <row r="29" spans="3:18" ht="30" customHeight="1" thickBot="1" x14ac:dyDescent="0.35">
      <c r="E29" s="580"/>
      <c r="F29" s="581"/>
      <c r="G29" s="490"/>
      <c r="H29" s="510"/>
      <c r="I29" s="490"/>
      <c r="J29" s="510"/>
    </row>
    <row r="30" spans="3:18" s="62" customFormat="1" ht="4.8" thickBot="1" x14ac:dyDescent="0.35">
      <c r="C30" s="254"/>
      <c r="E30" s="310"/>
      <c r="F30" s="311"/>
      <c r="G30" s="310"/>
      <c r="H30" s="311"/>
      <c r="I30" s="310"/>
      <c r="J30" s="311"/>
    </row>
    <row r="31" spans="3:18" ht="42" customHeight="1" x14ac:dyDescent="0.3">
      <c r="E31" s="300" t="s">
        <v>459</v>
      </c>
      <c r="F31" s="297">
        <f xml:space="preserve"> SplitScreenStrip!J98</f>
        <v>1747.5125235688029</v>
      </c>
      <c r="G31" s="567" t="s">
        <v>564</v>
      </c>
      <c r="H31" s="981">
        <f xml:space="preserve"> H20 / F20</f>
        <v>0.210365157862621</v>
      </c>
      <c r="I31" s="623" t="s">
        <v>576</v>
      </c>
      <c r="J31" s="732">
        <f xml:space="preserve"> L20 / F20</f>
        <v>0.18792886450052151</v>
      </c>
      <c r="L31" s="985" t="s">
        <v>880</v>
      </c>
    </row>
    <row r="32" spans="3:18" ht="42" thickBot="1" x14ac:dyDescent="0.35">
      <c r="E32" s="301" t="s">
        <v>460</v>
      </c>
      <c r="F32" s="298">
        <f xml:space="preserve"> SplitScreenStrip!J99</f>
        <v>216.47362592028139</v>
      </c>
      <c r="G32" s="568" t="s">
        <v>563</v>
      </c>
      <c r="H32" s="982">
        <f xml:space="preserve"> H21 / F21</f>
        <v>2.4999999999999998E-2</v>
      </c>
      <c r="I32" s="650" t="s">
        <v>577</v>
      </c>
      <c r="J32" s="731">
        <f xml:space="preserve"> L21 / F21</f>
        <v>1.0780777343066148E-2</v>
      </c>
    </row>
    <row r="33" spans="3:13" ht="30" customHeight="1" thickTop="1" thickBot="1" x14ac:dyDescent="0.35">
      <c r="E33" s="302" t="s">
        <v>461</v>
      </c>
      <c r="F33" s="299">
        <f xml:space="preserve"> SUM( F31:F32 )</f>
        <v>1963.9861494890843</v>
      </c>
      <c r="G33" s="569" t="s">
        <v>562</v>
      </c>
      <c r="H33" s="983">
        <f xml:space="preserve"> H22 / F22</f>
        <v>0.18005747948094739</v>
      </c>
      <c r="I33" s="623" t="s">
        <v>579</v>
      </c>
      <c r="J33" s="733">
        <f xml:space="preserve"> L22 / F22</f>
        <v>0.15896469823861858</v>
      </c>
    </row>
    <row r="34" spans="3:13" s="62" customFormat="1" ht="4.8" thickBot="1" x14ac:dyDescent="0.35">
      <c r="C34" s="254"/>
      <c r="E34" s="310"/>
      <c r="F34" s="311"/>
      <c r="G34" s="310"/>
      <c r="H34" s="984"/>
      <c r="I34" s="310"/>
      <c r="J34" s="311"/>
    </row>
    <row r="35" spans="3:13" ht="30" customHeight="1" x14ac:dyDescent="0.3">
      <c r="E35" s="300" t="s">
        <v>456</v>
      </c>
      <c r="F35" s="297">
        <f xml:space="preserve"> SplitScreenStrip!J100</f>
        <v>173.88402163410137</v>
      </c>
      <c r="G35" s="567" t="s">
        <v>610</v>
      </c>
      <c r="H35" s="981">
        <f xml:space="preserve"> H24 / F24</f>
        <v>0.02</v>
      </c>
      <c r="I35" s="623" t="s">
        <v>578</v>
      </c>
      <c r="J35" s="732">
        <f xml:space="preserve"> L24 / F24</f>
        <v>1.5169888287941679E-2</v>
      </c>
    </row>
    <row r="36" spans="3:13" ht="30" customHeight="1" thickBot="1" x14ac:dyDescent="0.35">
      <c r="E36" s="301" t="s">
        <v>457</v>
      </c>
      <c r="F36" s="298">
        <f xml:space="preserve"> SplitScreenStrip!J101</f>
        <v>1790.1021278549815</v>
      </c>
      <c r="G36" s="568" t="s">
        <v>565</v>
      </c>
      <c r="H36" s="982">
        <f xml:space="preserve"> H25 / F25</f>
        <v>0.28094858270417877</v>
      </c>
      <c r="I36" s="650" t="s">
        <v>580</v>
      </c>
      <c r="J36" s="731">
        <f xml:space="preserve"> L25 / F25</f>
        <v>0.24960474243240222</v>
      </c>
    </row>
    <row r="37" spans="3:13" ht="30" customHeight="1" thickTop="1" thickBot="1" x14ac:dyDescent="0.35">
      <c r="E37" s="302" t="s">
        <v>458</v>
      </c>
      <c r="F37" s="299">
        <f xml:space="preserve"> SUM( F35:F36 )</f>
        <v>1963.9861494890829</v>
      </c>
      <c r="G37" s="569" t="s">
        <v>566</v>
      </c>
      <c r="H37" s="983">
        <f xml:space="preserve"> H26 / F26</f>
        <v>0.18005747948094736</v>
      </c>
      <c r="I37" s="624" t="s">
        <v>581</v>
      </c>
      <c r="J37" s="733">
        <f xml:space="preserve"> L26 / F26</f>
        <v>0.15896469823861856</v>
      </c>
    </row>
    <row r="38" spans="3:13" s="492" customFormat="1" ht="13.8" thickBot="1" x14ac:dyDescent="0.35">
      <c r="M38" s="777"/>
    </row>
    <row r="39" spans="3:13" s="501" customFormat="1" ht="14.4" thickTop="1" thickBot="1" x14ac:dyDescent="0.35"/>
    <row r="40" spans="3:13" ht="13.8" thickBot="1" x14ac:dyDescent="0.35">
      <c r="E40" s="490" t="s">
        <v>467</v>
      </c>
      <c r="F40" s="491"/>
      <c r="G40" s="490" t="s">
        <v>154</v>
      </c>
      <c r="H40" s="491"/>
      <c r="I40" s="490" t="s">
        <v>95</v>
      </c>
      <c r="J40" s="491"/>
    </row>
    <row r="41" spans="3:13" s="62" customFormat="1" ht="4.8" thickBot="1" x14ac:dyDescent="0.35">
      <c r="C41" s="254"/>
      <c r="E41" s="310"/>
      <c r="F41" s="311"/>
      <c r="G41" s="310"/>
      <c r="H41" s="311"/>
      <c r="I41" s="310"/>
      <c r="J41" s="311"/>
    </row>
    <row r="42" spans="3:13" ht="14.4" x14ac:dyDescent="0.3">
      <c r="E42" s="300" t="s">
        <v>462</v>
      </c>
      <c r="F42" s="696">
        <f xml:space="preserve"> TransMatrix!P9</f>
        <v>77887.755136986307</v>
      </c>
      <c r="G42" s="303" t="s">
        <v>567</v>
      </c>
      <c r="H42" s="732">
        <f xml:space="preserve"> H31-J31</f>
        <v>2.2436293362099485E-2</v>
      </c>
      <c r="I42" s="300" t="s">
        <v>459</v>
      </c>
      <c r="J42" s="989">
        <f xml:space="preserve"> F42*H42</f>
        <v>1747.512523568796</v>
      </c>
    </row>
    <row r="43" spans="3:13" ht="15" thickBot="1" x14ac:dyDescent="0.35">
      <c r="E43" s="301" t="s">
        <v>463</v>
      </c>
      <c r="F43" s="697">
        <f xml:space="preserve"> TransMatrix!P10</f>
        <v>15224.01267236119</v>
      </c>
      <c r="G43" s="304" t="s">
        <v>568</v>
      </c>
      <c r="H43" s="731">
        <f xml:space="preserve"> H32-J32</f>
        <v>1.4219222656933849E-2</v>
      </c>
      <c r="I43" s="301" t="s">
        <v>460</v>
      </c>
      <c r="J43" s="697">
        <f xml:space="preserve"> F43*H43</f>
        <v>216.47362592028628</v>
      </c>
    </row>
    <row r="44" spans="3:13" ht="15.6" thickTop="1" thickBot="1" x14ac:dyDescent="0.35">
      <c r="E44" s="302" t="s">
        <v>464</v>
      </c>
      <c r="F44" s="698">
        <f xml:space="preserve"> TransMatrix!P11</f>
        <v>93111.767809347482</v>
      </c>
      <c r="G44" s="305" t="s">
        <v>569</v>
      </c>
      <c r="H44" s="733">
        <f xml:space="preserve"> ( H42 * F42 + H43 * F43 ) / ( F42 + F43 )</f>
        <v>2.1092781242328832E-2</v>
      </c>
      <c r="I44" s="302" t="s">
        <v>461</v>
      </c>
      <c r="J44" s="698">
        <f xml:space="preserve"> F44*H44</f>
        <v>1963.9861494890822</v>
      </c>
    </row>
    <row r="45" spans="3:13" s="62" customFormat="1" ht="4.8" thickBot="1" x14ac:dyDescent="0.35">
      <c r="C45" s="254"/>
      <c r="E45" s="310"/>
      <c r="F45" s="311"/>
      <c r="G45" s="310"/>
      <c r="H45" s="776"/>
      <c r="I45" s="310"/>
      <c r="J45" s="311"/>
    </row>
    <row r="46" spans="3:13" ht="14.4" x14ac:dyDescent="0.3">
      <c r="E46" s="300" t="s">
        <v>465</v>
      </c>
      <c r="F46" s="696">
        <f xml:space="preserve"> TransMatrix!P13</f>
        <v>36000</v>
      </c>
      <c r="G46" s="303" t="s">
        <v>570</v>
      </c>
      <c r="H46" s="732">
        <f xml:space="preserve"> H35-J35</f>
        <v>4.8301117120583218E-3</v>
      </c>
      <c r="I46" s="300" t="s">
        <v>456</v>
      </c>
      <c r="J46" s="696">
        <f xml:space="preserve"> F46*H46</f>
        <v>173.88402163409958</v>
      </c>
    </row>
    <row r="47" spans="3:13" ht="15" thickBot="1" x14ac:dyDescent="0.35">
      <c r="E47" s="301" t="s">
        <v>468</v>
      </c>
      <c r="F47" s="697">
        <f xml:space="preserve"> TransMatrix!P14</f>
        <v>57111.767809347497</v>
      </c>
      <c r="G47" s="304" t="s">
        <v>571</v>
      </c>
      <c r="H47" s="731">
        <f xml:space="preserve"> H36-J36</f>
        <v>3.1343840271776557E-2</v>
      </c>
      <c r="I47" s="301" t="s">
        <v>457</v>
      </c>
      <c r="J47" s="697">
        <f xml:space="preserve"> F47*H47</f>
        <v>1790.1021278549781</v>
      </c>
    </row>
    <row r="48" spans="3:13" ht="15.6" thickTop="1" thickBot="1" x14ac:dyDescent="0.35">
      <c r="E48" s="302" t="s">
        <v>466</v>
      </c>
      <c r="F48" s="698">
        <f xml:space="preserve"> TransMatrix!P15</f>
        <v>93111.767809347497</v>
      </c>
      <c r="G48" s="305" t="s">
        <v>572</v>
      </c>
      <c r="H48" s="733">
        <f xml:space="preserve"> ( H46 * F46 + H47 * F47 ) / ( F46 + F47 )</f>
        <v>2.109278124232878E-2</v>
      </c>
      <c r="I48" s="302" t="s">
        <v>458</v>
      </c>
      <c r="J48" s="698">
        <f xml:space="preserve"> F48*H48</f>
        <v>1963.9861494890777</v>
      </c>
    </row>
    <row r="49" spans="3:16" x14ac:dyDescent="0.3">
      <c r="K49" s="570"/>
    </row>
    <row r="50" spans="3:16" x14ac:dyDescent="0.3">
      <c r="K50" s="570"/>
    </row>
    <row r="51" spans="3:16" ht="13.8" thickBot="1" x14ac:dyDescent="0.35"/>
    <row r="52" spans="3:16" s="457" customFormat="1" ht="16.8" thickBot="1" x14ac:dyDescent="0.35">
      <c r="C52" s="458"/>
      <c r="D52" s="459" t="s">
        <v>687</v>
      </c>
      <c r="E52" s="459"/>
      <c r="F52" s="459"/>
      <c r="G52" s="459"/>
      <c r="H52" s="459"/>
      <c r="I52" s="459"/>
      <c r="K52" s="837">
        <v>0</v>
      </c>
      <c r="L52" s="837">
        <v>1</v>
      </c>
      <c r="M52" s="837">
        <v>2</v>
      </c>
      <c r="N52" s="837">
        <v>3</v>
      </c>
      <c r="O52" s="837">
        <v>4</v>
      </c>
      <c r="P52" s="837">
        <v>5</v>
      </c>
    </row>
    <row r="53" spans="3:16" x14ac:dyDescent="0.3">
      <c r="J53" s="799"/>
      <c r="K53" s="799"/>
      <c r="L53" s="799"/>
      <c r="M53" s="799"/>
      <c r="N53" s="799"/>
      <c r="O53" s="799"/>
    </row>
    <row r="54" spans="3:16" s="196" customFormat="1" x14ac:dyDescent="0.3">
      <c r="E54" s="809" t="str">
        <f>TransMatrix!G$20</f>
        <v xml:space="preserve"> + Interest income</v>
      </c>
      <c r="F54" s="810"/>
      <c r="G54" s="810"/>
      <c r="H54" s="810"/>
      <c r="I54" s="811"/>
      <c r="J54" s="762"/>
      <c r="K54" s="800">
        <f>TransMatrix!I$20</f>
        <v>0</v>
      </c>
      <c r="L54" s="800">
        <f>TransMatrix!J$20</f>
        <v>-93.75</v>
      </c>
      <c r="M54" s="800">
        <f>TransMatrix!K$20</f>
        <v>-12.828321917808319</v>
      </c>
      <c r="N54" s="800">
        <f>TransMatrix!L$20</f>
        <v>61.488499383561589</v>
      </c>
      <c r="O54" s="800">
        <f>TransMatrix!M$20</f>
        <v>155.23619796397267</v>
      </c>
      <c r="P54" s="800">
        <f>TransMatrix!N$20</f>
        <v>270.45394137930379</v>
      </c>
    </row>
    <row r="55" spans="3:16" s="196" customFormat="1" x14ac:dyDescent="0.3">
      <c r="E55" s="809" t="str">
        <f xml:space="preserve"> TransMatrix!G$23</f>
        <v xml:space="preserve"> + Interest expenses</v>
      </c>
      <c r="F55" s="810"/>
      <c r="G55" s="810"/>
      <c r="H55" s="810"/>
      <c r="I55" s="811"/>
      <c r="J55" s="762"/>
      <c r="K55" s="800">
        <f xml:space="preserve"> TransMatrix!I$23</f>
        <v>0</v>
      </c>
      <c r="L55" s="800">
        <f xml:space="preserve"> TransMatrix!J$23</f>
        <v>240</v>
      </c>
      <c r="M55" s="800">
        <f xml:space="preserve"> TransMatrix!K$23</f>
        <v>192</v>
      </c>
      <c r="N55" s="800">
        <f xml:space="preserve"> TransMatrix!L$23</f>
        <v>144</v>
      </c>
      <c r="O55" s="800">
        <f xml:space="preserve"> TransMatrix!M$23</f>
        <v>96</v>
      </c>
      <c r="P55" s="800">
        <f xml:space="preserve"> TransMatrix!N$23</f>
        <v>48</v>
      </c>
    </row>
    <row r="56" spans="3:16" s="196" customFormat="1" x14ac:dyDescent="0.3">
      <c r="E56" s="812" t="s">
        <v>649</v>
      </c>
      <c r="F56" s="813"/>
      <c r="G56" s="813"/>
      <c r="H56" s="813"/>
      <c r="I56" s="814"/>
      <c r="J56" s="762"/>
      <c r="K56" s="801">
        <f xml:space="preserve"> K55 - K54</f>
        <v>0</v>
      </c>
      <c r="L56" s="801">
        <f t="shared" ref="L56:P56" si="2" xml:space="preserve"> L55 - L54</f>
        <v>333.75</v>
      </c>
      <c r="M56" s="801">
        <f t="shared" si="2"/>
        <v>204.82832191780832</v>
      </c>
      <c r="N56" s="801">
        <f t="shared" si="2"/>
        <v>82.511500616438411</v>
      </c>
      <c r="O56" s="801">
        <f t="shared" si="2"/>
        <v>-59.236197963972671</v>
      </c>
      <c r="P56" s="801">
        <f t="shared" si="2"/>
        <v>-222.45394137930379</v>
      </c>
    </row>
    <row r="57" spans="3:16" s="196" customFormat="1" x14ac:dyDescent="0.3">
      <c r="E57" s="809" t="s">
        <v>642</v>
      </c>
      <c r="F57" s="810"/>
      <c r="G57" s="810"/>
      <c r="H57" s="810"/>
      <c r="I57" s="811"/>
      <c r="J57" s="784">
        <f xml:space="preserve"> Assumptions!$I$19</f>
        <v>0.3</v>
      </c>
      <c r="K57" s="804"/>
      <c r="L57" s="804"/>
      <c r="M57" s="804"/>
      <c r="N57" s="804"/>
      <c r="O57" s="804"/>
      <c r="P57" s="804"/>
    </row>
    <row r="58" spans="3:16" s="196" customFormat="1" x14ac:dyDescent="0.3">
      <c r="E58" s="812" t="s">
        <v>633</v>
      </c>
      <c r="F58" s="813"/>
      <c r="G58" s="813"/>
      <c r="H58" s="813"/>
      <c r="I58" s="814"/>
      <c r="J58" s="762"/>
      <c r="K58" s="801">
        <f t="shared" ref="K58:P58" si="3" xml:space="preserve"> K56 * $J57</f>
        <v>0</v>
      </c>
      <c r="L58" s="973">
        <f t="shared" si="3"/>
        <v>100.125</v>
      </c>
      <c r="M58" s="973">
        <f t="shared" si="3"/>
        <v>61.448496575342496</v>
      </c>
      <c r="N58" s="973">
        <f t="shared" si="3"/>
        <v>24.753450184931523</v>
      </c>
      <c r="O58" s="973">
        <f t="shared" si="3"/>
        <v>-17.770859389191802</v>
      </c>
      <c r="P58" s="973">
        <f t="shared" si="3"/>
        <v>-66.736182413791127</v>
      </c>
    </row>
    <row r="59" spans="3:16" s="196" customFormat="1" x14ac:dyDescent="0.3">
      <c r="E59" s="809" t="s">
        <v>637</v>
      </c>
      <c r="F59" s="810"/>
      <c r="G59" s="810"/>
      <c r="H59" s="810"/>
      <c r="I59" s="811"/>
      <c r="J59" s="785">
        <f xml:space="preserve"> Assumptions!$I$27</f>
        <v>0.15</v>
      </c>
      <c r="K59" s="804"/>
      <c r="L59" s="804"/>
      <c r="M59" s="804"/>
      <c r="N59" s="804"/>
      <c r="O59" s="804"/>
      <c r="P59" s="804"/>
    </row>
    <row r="60" spans="3:16" s="196" customFormat="1" x14ac:dyDescent="0.3">
      <c r="E60" s="812" t="s">
        <v>620</v>
      </c>
      <c r="F60" s="813"/>
      <c r="G60" s="813"/>
      <c r="H60" s="813"/>
      <c r="I60" s="814"/>
      <c r="J60" s="762"/>
      <c r="K60" s="801">
        <f xml:space="preserve"> ( L60 + L58 ) / ( 1 + $J59 )</f>
        <v>106.46468041543928</v>
      </c>
      <c r="L60" s="801">
        <f xml:space="preserve"> ( M60 + M58 ) / ( 1 + $J59 )</f>
        <v>22.309382477755154</v>
      </c>
      <c r="M60" s="801">
        <f xml:space="preserve"> ( N60 + N58 ) / ( 1 + $J59 )</f>
        <v>-35.79270672592407</v>
      </c>
      <c r="N60" s="801">
        <f xml:space="preserve"> ( O60 + O58 ) / ( 1 + $J59 )</f>
        <v>-65.915062919744202</v>
      </c>
      <c r="O60" s="801">
        <f xml:space="preserve"> ( P60 + P58 ) / ( 1 + $J59 )</f>
        <v>-58.031462968514028</v>
      </c>
      <c r="P60" s="802">
        <v>0</v>
      </c>
    </row>
    <row r="61" spans="3:16" s="196" customFormat="1" x14ac:dyDescent="0.3">
      <c r="E61" s="815" t="s">
        <v>612</v>
      </c>
      <c r="F61" s="816"/>
      <c r="G61" s="816"/>
      <c r="H61" s="816"/>
      <c r="I61" s="818"/>
      <c r="J61" s="786">
        <f xml:space="preserve"> K60 + K58</f>
        <v>106.46468041543928</v>
      </c>
      <c r="K61" s="804"/>
      <c r="L61" s="804"/>
      <c r="M61" s="804"/>
      <c r="N61" s="804"/>
      <c r="O61" s="804"/>
      <c r="P61" s="804"/>
    </row>
    <row r="62" spans="3:16" s="196" customFormat="1" x14ac:dyDescent="0.3">
      <c r="E62" s="694"/>
      <c r="K62" s="804"/>
      <c r="L62" s="804"/>
      <c r="M62" s="804"/>
      <c r="N62" s="804"/>
      <c r="O62" s="804"/>
      <c r="P62" s="804"/>
    </row>
    <row r="63" spans="3:16" s="196" customFormat="1" x14ac:dyDescent="0.3">
      <c r="E63" s="809" t="str">
        <f xml:space="preserve"> TransMatrix!G$29</f>
        <v xml:space="preserve"> + Cash flow from operations (CCF)</v>
      </c>
      <c r="F63" s="810"/>
      <c r="G63" s="810"/>
      <c r="H63" s="810"/>
      <c r="I63" s="811"/>
      <c r="J63" s="762"/>
      <c r="K63" s="800">
        <f xml:space="preserve"> TransMatrix!I$29</f>
        <v>-23750</v>
      </c>
      <c r="L63" s="800">
        <f xml:space="preserve"> TransMatrix!J$29</f>
        <v>6203.8921232876673</v>
      </c>
      <c r="M63" s="800">
        <f xml:space="preserve"> TransMatrix!K$29</f>
        <v>5996.8252089041116</v>
      </c>
      <c r="N63" s="800">
        <f xml:space="preserve"> TransMatrix!L$29</f>
        <v>6853.6678337465801</v>
      </c>
      <c r="O63" s="800">
        <f xml:space="preserve"> TransMatrix!M$29</f>
        <v>7793.8466063642281</v>
      </c>
      <c r="P63" s="800">
        <f xml:space="preserve"> TransMatrix!N$29</f>
        <v>13286.638132654705</v>
      </c>
    </row>
    <row r="64" spans="3:16" s="196" customFormat="1" x14ac:dyDescent="0.3">
      <c r="E64" s="805" t="str">
        <f xml:space="preserve"> E$58</f>
        <v>Tax shield</v>
      </c>
      <c r="F64" s="806"/>
      <c r="G64" s="806"/>
      <c r="H64" s="806"/>
      <c r="I64" s="807"/>
      <c r="J64" s="767"/>
      <c r="K64" s="803">
        <f t="shared" ref="K64:P64" si="4" xml:space="preserve"> K$58</f>
        <v>0</v>
      </c>
      <c r="L64" s="803">
        <f t="shared" si="4"/>
        <v>100.125</v>
      </c>
      <c r="M64" s="803">
        <f t="shared" si="4"/>
        <v>61.448496575342496</v>
      </c>
      <c r="N64" s="803">
        <f t="shared" si="4"/>
        <v>24.753450184931523</v>
      </c>
      <c r="O64" s="803">
        <f t="shared" si="4"/>
        <v>-17.770859389191802</v>
      </c>
      <c r="P64" s="803">
        <f t="shared" si="4"/>
        <v>-66.736182413791127</v>
      </c>
    </row>
    <row r="65" spans="5:16" s="196" customFormat="1" x14ac:dyDescent="0.3">
      <c r="E65" s="812" t="s">
        <v>648</v>
      </c>
      <c r="F65" s="813"/>
      <c r="G65" s="813"/>
      <c r="H65" s="813"/>
      <c r="I65" s="814"/>
      <c r="J65" s="762"/>
      <c r="K65" s="801">
        <f xml:space="preserve"> K63 - K64</f>
        <v>-23750</v>
      </c>
      <c r="L65" s="801">
        <f t="shared" ref="L65:P65" si="5" xml:space="preserve"> L63 - L64</f>
        <v>6103.7671232876673</v>
      </c>
      <c r="M65" s="801">
        <f t="shared" si="5"/>
        <v>5935.3767123287689</v>
      </c>
      <c r="N65" s="801">
        <f t="shared" si="5"/>
        <v>6828.9143835616487</v>
      </c>
      <c r="O65" s="801">
        <f t="shared" si="5"/>
        <v>7811.6174657534202</v>
      </c>
      <c r="P65" s="801">
        <f t="shared" si="5"/>
        <v>13353.374315068497</v>
      </c>
    </row>
    <row r="66" spans="5:16" s="196" customFormat="1" x14ac:dyDescent="0.3">
      <c r="E66" s="809" t="s">
        <v>637</v>
      </c>
      <c r="F66" s="810"/>
      <c r="G66" s="810"/>
      <c r="H66" s="810"/>
      <c r="I66" s="811"/>
      <c r="J66" s="785">
        <f xml:space="preserve"> Assumptions!$I$27</f>
        <v>0.15</v>
      </c>
      <c r="K66" s="804"/>
      <c r="L66" s="804"/>
      <c r="M66" s="804"/>
      <c r="N66" s="804"/>
      <c r="O66" s="804"/>
      <c r="P66" s="804"/>
    </row>
    <row r="67" spans="5:16" s="196" customFormat="1" x14ac:dyDescent="0.3">
      <c r="E67" s="812" t="s">
        <v>614</v>
      </c>
      <c r="F67" s="813"/>
      <c r="G67" s="813"/>
      <c r="H67" s="813"/>
      <c r="I67" s="814"/>
      <c r="J67" s="762"/>
      <c r="K67" s="801">
        <f xml:space="preserve"> ( L67 + L65 ) / ( 1 + $J66 )</f>
        <v>25391.047843153363</v>
      </c>
      <c r="L67" s="801">
        <f xml:space="preserve"> ( M67 + M65 ) / ( 1 + $J66 )</f>
        <v>23095.937896338699</v>
      </c>
      <c r="M67" s="801">
        <f xml:space="preserve"> ( N67 + N65 ) / ( 1 + $J66 )</f>
        <v>20624.951868460732</v>
      </c>
      <c r="N67" s="801">
        <f xml:space="preserve"> ( O67 + O65 ) / ( 1 + $J66 )</f>
        <v>16889.780265168192</v>
      </c>
      <c r="O67" s="801">
        <f xml:space="preserve"> ( P67 + P65 ) / ( 1 + $J66 )</f>
        <v>11611.629839189998</v>
      </c>
      <c r="P67" s="802">
        <v>0</v>
      </c>
    </row>
    <row r="68" spans="5:16" s="196" customFormat="1" x14ac:dyDescent="0.3">
      <c r="E68" s="815" t="s">
        <v>686</v>
      </c>
      <c r="F68" s="816"/>
      <c r="G68" s="816"/>
      <c r="H68" s="816"/>
      <c r="I68" s="817"/>
      <c r="J68" s="786">
        <f xml:space="preserve"> K67 + K65</f>
        <v>1641.0478431533629</v>
      </c>
    </row>
    <row r="69" spans="5:16" s="196" customFormat="1" x14ac:dyDescent="0.3">
      <c r="H69" s="694"/>
      <c r="J69" s="787"/>
    </row>
    <row r="70" spans="5:16" s="196" customFormat="1" x14ac:dyDescent="0.3">
      <c r="E70" s="815" t="s">
        <v>859</v>
      </c>
      <c r="F70" s="806"/>
      <c r="G70" s="806"/>
      <c r="H70" s="806"/>
      <c r="I70" s="807"/>
      <c r="J70" s="786">
        <f xml:space="preserve"> J68</f>
        <v>1641.0478431533629</v>
      </c>
      <c r="M70" s="695"/>
      <c r="N70" s="695"/>
      <c r="O70" s="306"/>
      <c r="P70" s="306"/>
    </row>
    <row r="71" spans="5:16" s="62" customFormat="1" ht="4.2" x14ac:dyDescent="0.3">
      <c r="E71" s="819"/>
      <c r="J71" s="820"/>
      <c r="L71" s="820"/>
      <c r="M71" s="820"/>
      <c r="N71" s="820"/>
      <c r="O71" s="820"/>
      <c r="P71" s="820"/>
    </row>
    <row r="72" spans="5:16" s="196" customFormat="1" x14ac:dyDescent="0.3">
      <c r="E72" s="965" t="str">
        <f xml:space="preserve"> E$61</f>
        <v>Tax shield NPV</v>
      </c>
      <c r="F72" s="806"/>
      <c r="G72" s="806"/>
      <c r="H72" s="806"/>
      <c r="I72" s="807"/>
      <c r="J72" s="789">
        <f xml:space="preserve"> J$61</f>
        <v>106.46468041543928</v>
      </c>
      <c r="M72" s="695"/>
      <c r="N72" s="695"/>
      <c r="O72" s="306"/>
      <c r="P72" s="306"/>
    </row>
    <row r="73" spans="5:16" s="196" customFormat="1" ht="14.4" x14ac:dyDescent="0.3">
      <c r="E73" s="965" t="s">
        <v>860</v>
      </c>
      <c r="F73" s="806"/>
      <c r="G73" s="806"/>
      <c r="H73" s="806"/>
      <c r="I73" s="807"/>
      <c r="J73" s="789">
        <f xml:space="preserve"> $J$43</f>
        <v>216.47362592028628</v>
      </c>
      <c r="L73" s="695"/>
      <c r="M73" s="306"/>
      <c r="N73" s="306"/>
      <c r="O73" s="306"/>
      <c r="P73" s="306"/>
    </row>
    <row r="74" spans="5:16" s="196" customFormat="1" ht="14.4" x14ac:dyDescent="0.3">
      <c r="E74" s="965" t="s">
        <v>861</v>
      </c>
      <c r="F74" s="806"/>
      <c r="G74" s="806"/>
      <c r="H74" s="806"/>
      <c r="I74" s="807"/>
      <c r="J74" s="789">
        <f xml:space="preserve"> $J$46</f>
        <v>173.88402163409958</v>
      </c>
      <c r="L74" s="695"/>
      <c r="M74" s="306"/>
      <c r="N74" s="306"/>
      <c r="O74" s="306"/>
      <c r="P74" s="306"/>
    </row>
    <row r="75" spans="5:16" s="196" customFormat="1" ht="14.4" x14ac:dyDescent="0.3">
      <c r="E75" s="812" t="s">
        <v>689</v>
      </c>
      <c r="F75" s="813"/>
      <c r="G75" s="813"/>
      <c r="H75" s="813"/>
      <c r="I75" s="814"/>
      <c r="J75" s="786">
        <f xml:space="preserve"> J72 + J73 - J74</f>
        <v>149.05428470162596</v>
      </c>
      <c r="M75" s="730"/>
      <c r="N75" s="730"/>
      <c r="O75" s="306"/>
      <c r="P75" s="306"/>
    </row>
    <row r="76" spans="5:16" s="62" customFormat="1" ht="4.2" x14ac:dyDescent="0.3">
      <c r="E76" s="819"/>
      <c r="J76" s="820"/>
      <c r="L76" s="820"/>
      <c r="M76" s="820"/>
      <c r="N76" s="820"/>
      <c r="O76" s="820"/>
      <c r="P76" s="820"/>
    </row>
    <row r="77" spans="5:16" s="196" customFormat="1" x14ac:dyDescent="0.3">
      <c r="E77" s="838" t="s">
        <v>688</v>
      </c>
      <c r="F77" s="839"/>
      <c r="G77" s="839"/>
      <c r="H77" s="839"/>
      <c r="I77" s="840"/>
      <c r="J77" s="798">
        <f xml:space="preserve"> J70+J75</f>
        <v>1790.1021278549888</v>
      </c>
      <c r="M77" s="306"/>
      <c r="N77" s="306"/>
      <c r="O77" s="306"/>
      <c r="P77" s="306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C56DF-DA54-45D9-8612-E63E203DE0A1}">
  <sheetPr>
    <tabColor rgb="FFC00000"/>
  </sheetPr>
  <dimension ref="A1:BX30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0" defaultRowHeight="14.4" zeroHeight="1" x14ac:dyDescent="0.3"/>
  <cols>
    <col min="1" max="1" width="2.109375" style="571" customWidth="1"/>
    <col min="2" max="2" width="19.109375" style="571" customWidth="1"/>
    <col min="3" max="3" width="1.44140625" style="571" customWidth="1"/>
    <col min="4" max="9" width="5.6640625" style="571" customWidth="1"/>
    <col min="10" max="10" width="1.44140625" style="571" customWidth="1"/>
    <col min="11" max="16" width="5.6640625" style="571" customWidth="1"/>
    <col min="17" max="17" width="1.44140625" style="571" customWidth="1"/>
    <col min="18" max="24" width="5.6640625" style="571" customWidth="1"/>
    <col min="25" max="25" width="17.109375" style="571" customWidth="1"/>
    <col min="26" max="26" width="2.88671875" style="571" customWidth="1"/>
    <col min="27" max="27" width="17.109375" style="571" customWidth="1"/>
    <col min="28" max="28" width="2.88671875" style="571" customWidth="1"/>
    <col min="29" max="29" width="21.44140625" style="571" customWidth="1"/>
    <col min="30" max="30" width="2.88671875" style="571" customWidth="1"/>
    <col min="31" max="31" width="21.44140625" style="571" customWidth="1"/>
    <col min="32" max="32" width="4.33203125" style="571" customWidth="1"/>
    <col min="33" max="33" width="31.33203125" style="571" customWidth="1"/>
    <col min="34" max="38" width="9.109375" style="571" customWidth="1"/>
    <col min="39" max="41" width="4.44140625" style="571" customWidth="1"/>
    <col min="42" max="43" width="9.109375" style="571" hidden="1" customWidth="1"/>
    <col min="44" max="45" width="0" style="571" hidden="1" customWidth="1"/>
    <col min="46" max="46" width="7.33203125" style="571" hidden="1" customWidth="1"/>
    <col min="47" max="47" width="0" style="571" hidden="1" customWidth="1"/>
    <col min="48" max="48" width="7.6640625" style="571" hidden="1" customWidth="1"/>
    <col min="49" max="49" width="0" style="571" hidden="1" customWidth="1"/>
    <col min="50" max="50" width="7.6640625" style="571" hidden="1" customWidth="1"/>
    <col min="51" max="52" width="0" style="571" hidden="1" customWidth="1"/>
    <col min="53" max="53" width="7.33203125" style="571" hidden="1" customWidth="1"/>
    <col min="54" max="54" width="0" style="571" hidden="1" customWidth="1"/>
    <col min="55" max="55" width="7.6640625" style="571" hidden="1" customWidth="1"/>
    <col min="56" max="56" width="0" style="571" hidden="1" customWidth="1"/>
    <col min="57" max="76" width="7.6640625" style="571" hidden="1" customWidth="1"/>
    <col min="77" max="16384" width="9.109375" style="571" hidden="1"/>
  </cols>
  <sheetData>
    <row r="1" spans="2:41" ht="15" thickBot="1" x14ac:dyDescent="0.35">
      <c r="B1" s="572"/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2"/>
      <c r="W1" s="572"/>
      <c r="X1" s="572"/>
      <c r="Y1" s="572"/>
      <c r="Z1" s="572"/>
      <c r="AA1" s="572"/>
      <c r="AB1" s="572"/>
      <c r="AC1" s="572"/>
      <c r="AD1" s="572"/>
      <c r="AE1" s="572"/>
      <c r="AF1" s="572"/>
      <c r="AG1" s="572"/>
      <c r="AM1" s="572"/>
      <c r="AN1" s="572"/>
      <c r="AO1" s="572"/>
    </row>
    <row r="2" spans="2:41" ht="18.75" customHeight="1" x14ac:dyDescent="0.3">
      <c r="C2" s="582"/>
      <c r="D2" s="585" t="s">
        <v>573</v>
      </c>
      <c r="E2" s="586"/>
      <c r="F2" s="586"/>
      <c r="G2" s="586"/>
      <c r="H2" s="586"/>
      <c r="I2" s="587"/>
      <c r="J2" s="582"/>
      <c r="K2" s="585" t="s">
        <v>587</v>
      </c>
      <c r="L2" s="586"/>
      <c r="M2" s="586"/>
      <c r="N2" s="586"/>
      <c r="O2" s="586"/>
      <c r="P2" s="587"/>
      <c r="Q2" s="582"/>
      <c r="R2" s="585" t="s">
        <v>574</v>
      </c>
      <c r="S2" s="586"/>
      <c r="T2" s="586"/>
      <c r="U2" s="586"/>
      <c r="V2" s="586"/>
      <c r="W2" s="587"/>
      <c r="X2" s="582"/>
      <c r="Y2" s="1158" t="s">
        <v>594</v>
      </c>
      <c r="Z2" s="1162" t="s">
        <v>593</v>
      </c>
      <c r="AA2" s="1160" t="s">
        <v>589</v>
      </c>
      <c r="AB2" s="1162" t="s">
        <v>592</v>
      </c>
      <c r="AC2" s="1219" t="s">
        <v>154</v>
      </c>
      <c r="AD2" s="1216" t="s">
        <v>591</v>
      </c>
      <c r="AE2" s="1217" t="s">
        <v>599</v>
      </c>
      <c r="AF2" s="1216" t="s">
        <v>592</v>
      </c>
      <c r="AG2" s="689" t="s">
        <v>95</v>
      </c>
      <c r="AH2" s="688"/>
    </row>
    <row r="3" spans="2:41" ht="18.75" customHeight="1" x14ac:dyDescent="0.3">
      <c r="B3" s="576"/>
      <c r="C3" s="602"/>
      <c r="D3" s="588">
        <v>2022</v>
      </c>
      <c r="E3" s="584">
        <v>2023</v>
      </c>
      <c r="F3" s="584">
        <v>2024</v>
      </c>
      <c r="G3" s="584">
        <v>2025</v>
      </c>
      <c r="H3" s="584">
        <v>2026</v>
      </c>
      <c r="I3" s="589">
        <v>2027</v>
      </c>
      <c r="J3" s="602"/>
      <c r="K3" s="588">
        <v>2022</v>
      </c>
      <c r="L3" s="584">
        <v>2023</v>
      </c>
      <c r="M3" s="584">
        <v>2024</v>
      </c>
      <c r="N3" s="584">
        <v>2025</v>
      </c>
      <c r="O3" s="584">
        <v>2026</v>
      </c>
      <c r="P3" s="589">
        <v>2027</v>
      </c>
      <c r="Q3" s="602"/>
      <c r="R3" s="588">
        <v>2022</v>
      </c>
      <c r="S3" s="584">
        <v>2023</v>
      </c>
      <c r="T3" s="584">
        <v>2024</v>
      </c>
      <c r="U3" s="584">
        <v>2025</v>
      </c>
      <c r="V3" s="584">
        <v>2026</v>
      </c>
      <c r="W3" s="589">
        <v>2027</v>
      </c>
      <c r="X3" s="602"/>
      <c r="Y3" s="1159"/>
      <c r="Z3" s="1163"/>
      <c r="AA3" s="1161"/>
      <c r="AB3" s="1163"/>
      <c r="AC3" s="1220"/>
      <c r="AD3" s="1177"/>
      <c r="AE3" s="1218"/>
      <c r="AF3" s="1177"/>
      <c r="AG3" s="690" t="s">
        <v>590</v>
      </c>
      <c r="AH3" s="688"/>
      <c r="AM3" s="572"/>
      <c r="AN3" s="572"/>
      <c r="AO3" s="572"/>
    </row>
    <row r="4" spans="2:41" ht="15" customHeight="1" x14ac:dyDescent="0.3">
      <c r="B4" s="1185" t="s">
        <v>35</v>
      </c>
      <c r="C4" s="673"/>
      <c r="D4" s="590"/>
      <c r="E4" s="573"/>
      <c r="F4" s="573"/>
      <c r="G4" s="573"/>
      <c r="H4" s="573"/>
      <c r="I4" s="591"/>
      <c r="J4" s="673"/>
      <c r="K4" s="590"/>
      <c r="L4" s="573"/>
      <c r="M4" s="573"/>
      <c r="N4" s="573"/>
      <c r="O4" s="573"/>
      <c r="P4" s="591"/>
      <c r="Q4" s="673"/>
      <c r="R4" s="590"/>
      <c r="S4" s="573"/>
      <c r="T4" s="573"/>
      <c r="U4" s="573"/>
      <c r="V4" s="573"/>
      <c r="W4" s="591"/>
      <c r="X4" s="677"/>
      <c r="Y4" s="683"/>
      <c r="Z4" s="1164" t="s">
        <v>593</v>
      </c>
      <c r="AA4" s="683"/>
      <c r="AB4" s="1164" t="s">
        <v>592</v>
      </c>
      <c r="AC4" s="1209">
        <f xml:space="preserve"> ValueCreation!H42</f>
        <v>2.2436293362099485E-2</v>
      </c>
      <c r="AD4" s="1174" t="s">
        <v>591</v>
      </c>
      <c r="AE4" s="1179">
        <f xml:space="preserve"> ValueCreation!$F$42</f>
        <v>77887.755136986307</v>
      </c>
      <c r="AF4" s="1174" t="s">
        <v>592</v>
      </c>
      <c r="AG4" s="1199">
        <f>ValueCreation!F31</f>
        <v>1747.5125235688029</v>
      </c>
      <c r="AH4" s="688"/>
      <c r="AM4" s="619">
        <f xml:space="preserve"> ValueCreation!$H$31</f>
        <v>0.210365157862621</v>
      </c>
      <c r="AN4" s="620">
        <f xml:space="preserve"> 1-AM4</f>
        <v>0.789634842137379</v>
      </c>
      <c r="AO4" s="621">
        <v>1</v>
      </c>
    </row>
    <row r="5" spans="2:41" ht="15" customHeight="1" x14ac:dyDescent="0.3">
      <c r="B5" s="1186"/>
      <c r="C5" s="671"/>
      <c r="D5" s="592"/>
      <c r="E5" s="574"/>
      <c r="F5" s="574"/>
      <c r="G5" s="574"/>
      <c r="H5" s="574"/>
      <c r="I5" s="593"/>
      <c r="J5" s="671"/>
      <c r="K5" s="592"/>
      <c r="L5" s="574"/>
      <c r="M5" s="574"/>
      <c r="N5" s="574"/>
      <c r="O5" s="574"/>
      <c r="P5" s="593"/>
      <c r="Q5" s="671"/>
      <c r="R5" s="592"/>
      <c r="S5" s="574"/>
      <c r="T5" s="574"/>
      <c r="U5" s="574"/>
      <c r="V5" s="574"/>
      <c r="W5" s="593"/>
      <c r="X5" s="678"/>
      <c r="Y5" s="684"/>
      <c r="Z5" s="1165"/>
      <c r="AA5" s="684"/>
      <c r="AB5" s="1165"/>
      <c r="AC5" s="1210"/>
      <c r="AD5" s="1175"/>
      <c r="AE5" s="1180"/>
      <c r="AF5" s="1175"/>
      <c r="AG5" s="1200"/>
      <c r="AH5" s="688"/>
      <c r="AM5" s="616">
        <f xml:space="preserve"> ValueCreation!$J$31</f>
        <v>0.18792886450052151</v>
      </c>
      <c r="AN5" s="617">
        <f xml:space="preserve"> 1-AM5</f>
        <v>0.81207113549947851</v>
      </c>
      <c r="AO5" s="618">
        <v>1</v>
      </c>
    </row>
    <row r="6" spans="2:41" ht="15" customHeight="1" x14ac:dyDescent="0.3">
      <c r="B6" s="1186"/>
      <c r="C6" s="671"/>
      <c r="D6" s="592"/>
      <c r="E6" s="574"/>
      <c r="F6" s="574"/>
      <c r="G6" s="574"/>
      <c r="H6" s="574"/>
      <c r="I6" s="593"/>
      <c r="J6" s="671"/>
      <c r="K6" s="592"/>
      <c r="L6" s="574"/>
      <c r="M6" s="574"/>
      <c r="N6" s="574"/>
      <c r="O6" s="574"/>
      <c r="P6" s="593"/>
      <c r="Q6" s="671"/>
      <c r="R6" s="592"/>
      <c r="S6" s="574"/>
      <c r="T6" s="574"/>
      <c r="U6" s="574"/>
      <c r="V6" s="574"/>
      <c r="W6" s="593"/>
      <c r="X6" s="678"/>
      <c r="Y6" s="684"/>
      <c r="Z6" s="1165"/>
      <c r="AA6" s="684"/>
      <c r="AB6" s="1165"/>
      <c r="AC6" s="1210"/>
      <c r="AD6" s="1175"/>
      <c r="AE6" s="1180"/>
      <c r="AF6" s="1175"/>
      <c r="AG6" s="1200"/>
      <c r="AH6" s="688"/>
      <c r="AM6" s="614"/>
      <c r="AN6" s="614"/>
      <c r="AO6" s="614"/>
    </row>
    <row r="7" spans="2:41" ht="15" customHeight="1" x14ac:dyDescent="0.3">
      <c r="B7" s="1186"/>
      <c r="C7" s="671"/>
      <c r="D7" s="592"/>
      <c r="E7" s="574"/>
      <c r="F7" s="574"/>
      <c r="G7" s="574"/>
      <c r="H7" s="574"/>
      <c r="I7" s="593"/>
      <c r="J7" s="671"/>
      <c r="K7" s="592"/>
      <c r="L7" s="574"/>
      <c r="M7" s="574"/>
      <c r="N7" s="574"/>
      <c r="O7" s="574"/>
      <c r="P7" s="593"/>
      <c r="Q7" s="671"/>
      <c r="R7" s="592"/>
      <c r="S7" s="574"/>
      <c r="T7" s="574"/>
      <c r="U7" s="574"/>
      <c r="V7" s="574"/>
      <c r="W7" s="593"/>
      <c r="X7" s="678"/>
      <c r="Y7" s="1193">
        <f xml:space="preserve"> ValueCreation!$H$31</f>
        <v>0.210365157862621</v>
      </c>
      <c r="Z7" s="1165"/>
      <c r="AA7" s="1193">
        <f xml:space="preserve"> ValueCreation!$J$31</f>
        <v>0.18792886450052151</v>
      </c>
      <c r="AB7" s="1165"/>
      <c r="AC7" s="1210"/>
      <c r="AD7" s="1175"/>
      <c r="AE7" s="1180"/>
      <c r="AF7" s="1175"/>
      <c r="AG7" s="1200"/>
      <c r="AH7" s="688"/>
      <c r="AM7" s="614"/>
      <c r="AN7" s="614"/>
      <c r="AO7" s="614"/>
    </row>
    <row r="8" spans="2:41" ht="15" customHeight="1" x14ac:dyDescent="0.3">
      <c r="B8" s="1187"/>
      <c r="C8" s="674"/>
      <c r="D8" s="594"/>
      <c r="E8" s="575"/>
      <c r="F8" s="575"/>
      <c r="G8" s="575"/>
      <c r="H8" s="575"/>
      <c r="I8" s="595"/>
      <c r="J8" s="674"/>
      <c r="K8" s="594"/>
      <c r="L8" s="575"/>
      <c r="M8" s="575"/>
      <c r="N8" s="575"/>
      <c r="O8" s="575"/>
      <c r="P8" s="595"/>
      <c r="Q8" s="674"/>
      <c r="R8" s="594"/>
      <c r="S8" s="575"/>
      <c r="T8" s="575"/>
      <c r="U8" s="575"/>
      <c r="V8" s="575"/>
      <c r="W8" s="595"/>
      <c r="X8" s="679"/>
      <c r="Y8" s="1195"/>
      <c r="Z8" s="1163"/>
      <c r="AA8" s="1195"/>
      <c r="AB8" s="1163"/>
      <c r="AC8" s="1214"/>
      <c r="AD8" s="1177"/>
      <c r="AE8" s="1184"/>
      <c r="AF8" s="1177"/>
      <c r="AG8" s="1201"/>
      <c r="AH8" s="688"/>
      <c r="AM8" s="615"/>
      <c r="AN8" s="615"/>
      <c r="AO8" s="615"/>
    </row>
    <row r="9" spans="2:41" ht="15" customHeight="1" x14ac:dyDescent="0.3">
      <c r="B9" s="1185" t="s">
        <v>37</v>
      </c>
      <c r="C9" s="583"/>
      <c r="D9" s="596"/>
      <c r="E9" s="577"/>
      <c r="F9" s="577"/>
      <c r="G9" s="577"/>
      <c r="H9" s="577"/>
      <c r="I9" s="597"/>
      <c r="J9" s="583"/>
      <c r="K9" s="596"/>
      <c r="L9" s="577"/>
      <c r="M9" s="577"/>
      <c r="N9" s="577"/>
      <c r="O9" s="577"/>
      <c r="P9" s="597"/>
      <c r="Q9" s="583"/>
      <c r="R9" s="596"/>
      <c r="S9" s="577"/>
      <c r="T9" s="577"/>
      <c r="U9" s="577"/>
      <c r="V9" s="577"/>
      <c r="W9" s="597"/>
      <c r="X9" s="583"/>
      <c r="Y9" s="683"/>
      <c r="Z9" s="1164" t="s">
        <v>593</v>
      </c>
      <c r="AA9" s="683"/>
      <c r="AB9" s="1164" t="s">
        <v>592</v>
      </c>
      <c r="AC9" s="1209">
        <f xml:space="preserve"> ValueCreation!H43</f>
        <v>1.4219222656933849E-2</v>
      </c>
      <c r="AD9" s="1174" t="s">
        <v>591</v>
      </c>
      <c r="AE9" s="1179">
        <f xml:space="preserve"> ValueCreation!$F$43</f>
        <v>15224.01267236119</v>
      </c>
      <c r="AF9" s="1174" t="s">
        <v>592</v>
      </c>
      <c r="AG9" s="1199">
        <f>ValueCreation!F32</f>
        <v>216.47362592028139</v>
      </c>
      <c r="AH9" s="688"/>
      <c r="AM9" s="619">
        <f xml:space="preserve"> ValueCreation!$H$32</f>
        <v>2.4999999999999998E-2</v>
      </c>
      <c r="AN9" s="620">
        <f xml:space="preserve"> 1-AM9</f>
        <v>0.97499999999999998</v>
      </c>
      <c r="AO9" s="621">
        <v>1</v>
      </c>
    </row>
    <row r="10" spans="2:41" ht="15" customHeight="1" x14ac:dyDescent="0.3">
      <c r="B10" s="1186"/>
      <c r="C10" s="582"/>
      <c r="D10" s="592"/>
      <c r="E10" s="574"/>
      <c r="F10" s="574"/>
      <c r="G10" s="574"/>
      <c r="H10" s="574"/>
      <c r="I10" s="593"/>
      <c r="J10" s="582"/>
      <c r="K10" s="592"/>
      <c r="L10" s="574"/>
      <c r="M10" s="574"/>
      <c r="N10" s="574"/>
      <c r="O10" s="574"/>
      <c r="P10" s="593"/>
      <c r="Q10" s="582"/>
      <c r="R10" s="592"/>
      <c r="S10" s="574"/>
      <c r="T10" s="574"/>
      <c r="U10" s="574"/>
      <c r="V10" s="574"/>
      <c r="W10" s="593"/>
      <c r="X10" s="582"/>
      <c r="Y10" s="684"/>
      <c r="Z10" s="1165"/>
      <c r="AA10" s="684"/>
      <c r="AB10" s="1165"/>
      <c r="AC10" s="1210"/>
      <c r="AD10" s="1175"/>
      <c r="AE10" s="1180"/>
      <c r="AF10" s="1175"/>
      <c r="AG10" s="1200"/>
      <c r="AH10" s="688"/>
      <c r="AM10" s="616">
        <f xml:space="preserve"> ValueCreation!$J$32</f>
        <v>1.0780777343066148E-2</v>
      </c>
      <c r="AN10" s="617">
        <f xml:space="preserve"> 1-AM10</f>
        <v>0.98921922265693385</v>
      </c>
      <c r="AO10" s="618">
        <v>1</v>
      </c>
    </row>
    <row r="11" spans="2:41" ht="15" customHeight="1" x14ac:dyDescent="0.3">
      <c r="B11" s="1186"/>
      <c r="C11" s="582"/>
      <c r="D11" s="592"/>
      <c r="E11" s="574"/>
      <c r="F11" s="574"/>
      <c r="G11" s="574"/>
      <c r="H11" s="574"/>
      <c r="I11" s="593"/>
      <c r="J11" s="582"/>
      <c r="K11" s="592"/>
      <c r="L11" s="574"/>
      <c r="M11" s="574"/>
      <c r="N11" s="574"/>
      <c r="O11" s="574"/>
      <c r="P11" s="593"/>
      <c r="Q11" s="582"/>
      <c r="R11" s="592"/>
      <c r="S11" s="574"/>
      <c r="T11" s="574"/>
      <c r="U11" s="574"/>
      <c r="V11" s="574"/>
      <c r="W11" s="593"/>
      <c r="X11" s="582"/>
      <c r="Y11" s="684"/>
      <c r="Z11" s="1165"/>
      <c r="AA11" s="684"/>
      <c r="AB11" s="1165"/>
      <c r="AC11" s="1210"/>
      <c r="AD11" s="1175"/>
      <c r="AE11" s="1180"/>
      <c r="AF11" s="1175"/>
      <c r="AG11" s="1200"/>
      <c r="AH11" s="688"/>
      <c r="AM11" s="614"/>
      <c r="AN11" s="614"/>
      <c r="AO11" s="614"/>
    </row>
    <row r="12" spans="2:41" ht="15" customHeight="1" x14ac:dyDescent="0.3">
      <c r="B12" s="1186"/>
      <c r="C12" s="582"/>
      <c r="D12" s="592"/>
      <c r="E12" s="574"/>
      <c r="F12" s="574"/>
      <c r="G12" s="574"/>
      <c r="H12" s="574"/>
      <c r="I12" s="593"/>
      <c r="J12" s="582"/>
      <c r="K12" s="592"/>
      <c r="L12" s="574"/>
      <c r="M12" s="574"/>
      <c r="N12" s="574"/>
      <c r="O12" s="574"/>
      <c r="P12" s="593"/>
      <c r="Q12" s="582"/>
      <c r="R12" s="592"/>
      <c r="S12" s="574"/>
      <c r="T12" s="574"/>
      <c r="U12" s="574"/>
      <c r="V12" s="574"/>
      <c r="W12" s="593"/>
      <c r="X12" s="582"/>
      <c r="Y12" s="1193">
        <f xml:space="preserve"> ValueCreation!$H$32</f>
        <v>2.4999999999999998E-2</v>
      </c>
      <c r="Z12" s="1165"/>
      <c r="AA12" s="1193">
        <f xml:space="preserve"> ValueCreation!$J$32</f>
        <v>1.0780777343066148E-2</v>
      </c>
      <c r="AB12" s="1165"/>
      <c r="AC12" s="1210"/>
      <c r="AD12" s="1175"/>
      <c r="AE12" s="1180"/>
      <c r="AF12" s="1175"/>
      <c r="AG12" s="1200"/>
      <c r="AH12" s="688"/>
      <c r="AM12" s="614"/>
      <c r="AN12" s="614"/>
      <c r="AO12" s="614"/>
    </row>
    <row r="13" spans="2:41" ht="15" customHeight="1" thickBot="1" x14ac:dyDescent="0.35">
      <c r="B13" s="1188"/>
      <c r="C13" s="672"/>
      <c r="D13" s="598"/>
      <c r="E13" s="578"/>
      <c r="F13" s="578"/>
      <c r="G13" s="578"/>
      <c r="H13" s="578"/>
      <c r="I13" s="599"/>
      <c r="J13" s="672"/>
      <c r="K13" s="598"/>
      <c r="L13" s="578"/>
      <c r="M13" s="578"/>
      <c r="N13" s="578"/>
      <c r="O13" s="578"/>
      <c r="P13" s="599"/>
      <c r="Q13" s="672"/>
      <c r="R13" s="598"/>
      <c r="S13" s="578"/>
      <c r="T13" s="578"/>
      <c r="U13" s="578"/>
      <c r="V13" s="578"/>
      <c r="W13" s="599"/>
      <c r="X13" s="672"/>
      <c r="Y13" s="1196"/>
      <c r="Z13" s="1166"/>
      <c r="AA13" s="1196"/>
      <c r="AB13" s="1166"/>
      <c r="AC13" s="1210"/>
      <c r="AD13" s="1176"/>
      <c r="AE13" s="1180"/>
      <c r="AF13" s="1176"/>
      <c r="AG13" s="1202"/>
      <c r="AH13" s="688"/>
      <c r="AM13" s="615"/>
      <c r="AN13" s="615"/>
      <c r="AO13" s="615"/>
    </row>
    <row r="14" spans="2:41" ht="15" customHeight="1" x14ac:dyDescent="0.3">
      <c r="B14" s="1189" t="s">
        <v>575</v>
      </c>
      <c r="C14" s="675"/>
      <c r="D14" s="604"/>
      <c r="E14" s="605"/>
      <c r="F14" s="605"/>
      <c r="G14" s="605"/>
      <c r="H14" s="605"/>
      <c r="I14" s="606"/>
      <c r="J14" s="675"/>
      <c r="K14" s="604"/>
      <c r="L14" s="605"/>
      <c r="M14" s="605"/>
      <c r="N14" s="605"/>
      <c r="O14" s="605"/>
      <c r="P14" s="606"/>
      <c r="Q14" s="675"/>
      <c r="R14" s="604"/>
      <c r="S14" s="605"/>
      <c r="T14" s="605"/>
      <c r="U14" s="605"/>
      <c r="V14" s="605"/>
      <c r="W14" s="606"/>
      <c r="X14" s="680"/>
      <c r="Y14" s="685"/>
      <c r="Z14" s="1167" t="s">
        <v>593</v>
      </c>
      <c r="AA14" s="685"/>
      <c r="AB14" s="1167" t="s">
        <v>592</v>
      </c>
      <c r="AC14" s="1211">
        <f xml:space="preserve"> ValueCreation!H44</f>
        <v>2.1092781242328832E-2</v>
      </c>
      <c r="AD14" s="1171" t="s">
        <v>591</v>
      </c>
      <c r="AE14" s="1181">
        <f xml:space="preserve"> ValueCreation!$F$44</f>
        <v>93111.767809347482</v>
      </c>
      <c r="AF14" s="1171" t="s">
        <v>592</v>
      </c>
      <c r="AG14" s="1205">
        <f>ValueCreation!F33</f>
        <v>1963.9861494890843</v>
      </c>
      <c r="AH14" s="688"/>
      <c r="AM14" s="619">
        <f xml:space="preserve"> ValueCreation!$H$33</f>
        <v>0.18005747948094739</v>
      </c>
      <c r="AN14" s="620">
        <f xml:space="preserve"> 1-AM14</f>
        <v>0.81994252051905259</v>
      </c>
      <c r="AO14" s="621">
        <v>1</v>
      </c>
    </row>
    <row r="15" spans="2:41" ht="15" customHeight="1" x14ac:dyDescent="0.3">
      <c r="B15" s="1190"/>
      <c r="C15" s="603"/>
      <c r="D15" s="607"/>
      <c r="E15" s="608"/>
      <c r="F15" s="608"/>
      <c r="G15" s="608"/>
      <c r="H15" s="608"/>
      <c r="I15" s="609"/>
      <c r="J15" s="603"/>
      <c r="K15" s="607"/>
      <c r="L15" s="608"/>
      <c r="M15" s="608"/>
      <c r="N15" s="608"/>
      <c r="O15" s="608"/>
      <c r="P15" s="609"/>
      <c r="Q15" s="603"/>
      <c r="R15" s="607"/>
      <c r="S15" s="608"/>
      <c r="T15" s="608"/>
      <c r="U15" s="608"/>
      <c r="V15" s="608"/>
      <c r="W15" s="609"/>
      <c r="X15" s="681"/>
      <c r="Y15" s="686"/>
      <c r="Z15" s="1168"/>
      <c r="AA15" s="686"/>
      <c r="AB15" s="1168"/>
      <c r="AC15" s="1212"/>
      <c r="AD15" s="1172"/>
      <c r="AE15" s="1182"/>
      <c r="AF15" s="1172"/>
      <c r="AG15" s="1206"/>
      <c r="AH15" s="688"/>
      <c r="AM15" s="616">
        <f xml:space="preserve"> ValueCreation!$J$33</f>
        <v>0.15896469823861858</v>
      </c>
      <c r="AN15" s="617">
        <f xml:space="preserve"> 1-AM15</f>
        <v>0.84103530176138142</v>
      </c>
      <c r="AO15" s="618">
        <v>1</v>
      </c>
    </row>
    <row r="16" spans="2:41" ht="15" customHeight="1" x14ac:dyDescent="0.3">
      <c r="B16" s="1190"/>
      <c r="C16" s="603"/>
      <c r="D16" s="607"/>
      <c r="E16" s="608"/>
      <c r="F16" s="608"/>
      <c r="G16" s="608"/>
      <c r="H16" s="608"/>
      <c r="I16" s="609"/>
      <c r="J16" s="603"/>
      <c r="K16" s="607"/>
      <c r="L16" s="608"/>
      <c r="M16" s="608"/>
      <c r="N16" s="608"/>
      <c r="O16" s="608"/>
      <c r="P16" s="609"/>
      <c r="Q16" s="603"/>
      <c r="R16" s="607"/>
      <c r="S16" s="608"/>
      <c r="T16" s="608"/>
      <c r="U16" s="608"/>
      <c r="V16" s="608"/>
      <c r="W16" s="609"/>
      <c r="X16" s="681"/>
      <c r="Y16" s="686"/>
      <c r="Z16" s="1168"/>
      <c r="AA16" s="686"/>
      <c r="AB16" s="1168"/>
      <c r="AC16" s="1212"/>
      <c r="AD16" s="1172"/>
      <c r="AE16" s="1182"/>
      <c r="AF16" s="1172"/>
      <c r="AG16" s="1206"/>
      <c r="AH16" s="688"/>
      <c r="AM16" s="614"/>
      <c r="AN16" s="614"/>
      <c r="AO16" s="614"/>
    </row>
    <row r="17" spans="2:41" ht="15" customHeight="1" x14ac:dyDescent="0.3">
      <c r="B17" s="1190"/>
      <c r="C17" s="603"/>
      <c r="D17" s="607"/>
      <c r="E17" s="608"/>
      <c r="F17" s="608"/>
      <c r="G17" s="608"/>
      <c r="H17" s="608"/>
      <c r="I17" s="609"/>
      <c r="J17" s="603"/>
      <c r="K17" s="607"/>
      <c r="L17" s="608"/>
      <c r="M17" s="608"/>
      <c r="N17" s="608"/>
      <c r="O17" s="608"/>
      <c r="P17" s="609"/>
      <c r="Q17" s="603"/>
      <c r="R17" s="607"/>
      <c r="S17" s="608"/>
      <c r="T17" s="608"/>
      <c r="U17" s="608"/>
      <c r="V17" s="608"/>
      <c r="W17" s="609"/>
      <c r="X17" s="681"/>
      <c r="Y17" s="1197">
        <f xml:space="preserve"> ValueCreation!$H$33</f>
        <v>0.18005747948094739</v>
      </c>
      <c r="Z17" s="1168"/>
      <c r="AA17" s="1197">
        <f xml:space="preserve"> ValueCreation!$J$33</f>
        <v>0.15896469823861858</v>
      </c>
      <c r="AB17" s="1168"/>
      <c r="AC17" s="1212"/>
      <c r="AD17" s="1172"/>
      <c r="AE17" s="1182"/>
      <c r="AF17" s="1172"/>
      <c r="AG17" s="1206"/>
      <c r="AH17" s="688"/>
      <c r="AM17" s="614"/>
      <c r="AN17" s="614"/>
      <c r="AO17" s="614"/>
    </row>
    <row r="18" spans="2:41" ht="15" customHeight="1" thickBot="1" x14ac:dyDescent="0.35">
      <c r="B18" s="1191"/>
      <c r="C18" s="676"/>
      <c r="D18" s="610"/>
      <c r="E18" s="611"/>
      <c r="F18" s="611"/>
      <c r="G18" s="611"/>
      <c r="H18" s="611"/>
      <c r="I18" s="612"/>
      <c r="J18" s="676"/>
      <c r="K18" s="610"/>
      <c r="L18" s="611"/>
      <c r="M18" s="611"/>
      <c r="N18" s="611"/>
      <c r="O18" s="611"/>
      <c r="P18" s="612"/>
      <c r="Q18" s="676"/>
      <c r="R18" s="610"/>
      <c r="S18" s="611"/>
      <c r="T18" s="611"/>
      <c r="U18" s="611"/>
      <c r="V18" s="611"/>
      <c r="W18" s="612"/>
      <c r="X18" s="682"/>
      <c r="Y18" s="1198"/>
      <c r="Z18" s="1169"/>
      <c r="AA18" s="1198"/>
      <c r="AB18" s="1169"/>
      <c r="AC18" s="1213"/>
      <c r="AD18" s="1173"/>
      <c r="AE18" s="1183"/>
      <c r="AF18" s="1173"/>
      <c r="AG18" s="1207"/>
      <c r="AH18" s="688"/>
      <c r="AM18" s="622"/>
      <c r="AN18" s="622"/>
      <c r="AO18" s="622"/>
    </row>
    <row r="19" spans="2:41" ht="15" customHeight="1" x14ac:dyDescent="0.3">
      <c r="B19" s="1192" t="s">
        <v>31</v>
      </c>
      <c r="C19" s="583"/>
      <c r="D19" s="600"/>
      <c r="E19" s="579"/>
      <c r="F19" s="579"/>
      <c r="G19" s="579"/>
      <c r="H19" s="579"/>
      <c r="I19" s="601"/>
      <c r="J19" s="583"/>
      <c r="K19" s="600"/>
      <c r="L19" s="579"/>
      <c r="M19" s="579"/>
      <c r="N19" s="579"/>
      <c r="O19" s="579"/>
      <c r="P19" s="601"/>
      <c r="Q19" s="583"/>
      <c r="R19" s="600"/>
      <c r="S19" s="579"/>
      <c r="T19" s="579"/>
      <c r="U19" s="579"/>
      <c r="V19" s="579"/>
      <c r="W19" s="601"/>
      <c r="X19" s="583"/>
      <c r="Y19" s="687"/>
      <c r="Z19" s="1170" t="s">
        <v>593</v>
      </c>
      <c r="AA19" s="687"/>
      <c r="AB19" s="1170" t="s">
        <v>592</v>
      </c>
      <c r="AC19" s="1210">
        <f xml:space="preserve"> ValueCreation!H46</f>
        <v>4.8301117120583218E-3</v>
      </c>
      <c r="AD19" s="1178" t="s">
        <v>591</v>
      </c>
      <c r="AE19" s="1180">
        <f xml:space="preserve"> ValueCreation!$F$46</f>
        <v>36000</v>
      </c>
      <c r="AF19" s="1178" t="s">
        <v>592</v>
      </c>
      <c r="AG19" s="1204">
        <f>ValueCreation!F35</f>
        <v>173.88402163410137</v>
      </c>
      <c r="AH19" s="688"/>
      <c r="AM19" s="619">
        <f xml:space="preserve"> ValueCreation!$H$35</f>
        <v>0.02</v>
      </c>
      <c r="AN19" s="620">
        <f xml:space="preserve"> 1-AM19</f>
        <v>0.98</v>
      </c>
      <c r="AO19" s="621">
        <v>1</v>
      </c>
    </row>
    <row r="20" spans="2:41" ht="15" customHeight="1" x14ac:dyDescent="0.3">
      <c r="B20" s="1186"/>
      <c r="C20" s="582"/>
      <c r="D20" s="592"/>
      <c r="E20" s="574"/>
      <c r="F20" s="574"/>
      <c r="G20" s="574"/>
      <c r="H20" s="574"/>
      <c r="I20" s="593"/>
      <c r="J20" s="582"/>
      <c r="K20" s="592"/>
      <c r="L20" s="574"/>
      <c r="M20" s="574"/>
      <c r="N20" s="574"/>
      <c r="O20" s="574"/>
      <c r="P20" s="593"/>
      <c r="Q20" s="582"/>
      <c r="R20" s="592"/>
      <c r="S20" s="574"/>
      <c r="T20" s="574"/>
      <c r="U20" s="574"/>
      <c r="V20" s="574"/>
      <c r="W20" s="593"/>
      <c r="X20" s="582"/>
      <c r="Y20" s="684"/>
      <c r="Z20" s="1165"/>
      <c r="AA20" s="684"/>
      <c r="AB20" s="1165"/>
      <c r="AC20" s="1210"/>
      <c r="AD20" s="1175"/>
      <c r="AE20" s="1180"/>
      <c r="AF20" s="1175"/>
      <c r="AG20" s="1200"/>
      <c r="AH20" s="688"/>
      <c r="AM20" s="616">
        <f xml:space="preserve"> ValueCreation!$J$35</f>
        <v>1.5169888287941679E-2</v>
      </c>
      <c r="AN20" s="617">
        <f xml:space="preserve"> 1-AM20</f>
        <v>0.98483011171205836</v>
      </c>
      <c r="AO20" s="618">
        <v>1</v>
      </c>
    </row>
    <row r="21" spans="2:41" ht="15" customHeight="1" x14ac:dyDescent="0.3">
      <c r="B21" s="1186"/>
      <c r="C21" s="582"/>
      <c r="D21" s="592"/>
      <c r="E21" s="574"/>
      <c r="F21" s="574"/>
      <c r="G21" s="574"/>
      <c r="H21" s="574"/>
      <c r="I21" s="593"/>
      <c r="J21" s="582"/>
      <c r="K21" s="592"/>
      <c r="L21" s="574"/>
      <c r="M21" s="574"/>
      <c r="N21" s="574"/>
      <c r="O21" s="574"/>
      <c r="P21" s="593"/>
      <c r="Q21" s="582"/>
      <c r="R21" s="592"/>
      <c r="S21" s="574"/>
      <c r="T21" s="574"/>
      <c r="U21" s="574"/>
      <c r="V21" s="574"/>
      <c r="W21" s="593"/>
      <c r="X21" s="582"/>
      <c r="Y21" s="684"/>
      <c r="Z21" s="1165"/>
      <c r="AA21" s="684"/>
      <c r="AB21" s="1165"/>
      <c r="AC21" s="1210"/>
      <c r="AD21" s="1175"/>
      <c r="AE21" s="1180"/>
      <c r="AF21" s="1175"/>
      <c r="AG21" s="1200"/>
      <c r="AH21" s="688"/>
      <c r="AM21" s="614"/>
      <c r="AN21" s="614"/>
      <c r="AO21" s="614"/>
    </row>
    <row r="22" spans="2:41" ht="15" customHeight="1" x14ac:dyDescent="0.3">
      <c r="B22" s="1186"/>
      <c r="C22" s="582"/>
      <c r="D22" s="592"/>
      <c r="E22" s="574"/>
      <c r="F22" s="574"/>
      <c r="G22" s="574"/>
      <c r="H22" s="574"/>
      <c r="I22" s="593"/>
      <c r="J22" s="582"/>
      <c r="K22" s="592"/>
      <c r="L22" s="574"/>
      <c r="M22" s="574"/>
      <c r="N22" s="574"/>
      <c r="O22" s="574"/>
      <c r="P22" s="593"/>
      <c r="Q22" s="582"/>
      <c r="R22" s="592"/>
      <c r="S22" s="574"/>
      <c r="T22" s="574"/>
      <c r="U22" s="574"/>
      <c r="V22" s="574"/>
      <c r="W22" s="593"/>
      <c r="X22" s="582"/>
      <c r="Y22" s="1193">
        <f xml:space="preserve"> ValueCreation!$H$35</f>
        <v>0.02</v>
      </c>
      <c r="Z22" s="1165"/>
      <c r="AA22" s="1193">
        <f xml:space="preserve"> ValueCreation!$J$35</f>
        <v>1.5169888287941679E-2</v>
      </c>
      <c r="AB22" s="1165"/>
      <c r="AC22" s="1210"/>
      <c r="AD22" s="1175"/>
      <c r="AE22" s="1180"/>
      <c r="AF22" s="1175"/>
      <c r="AG22" s="1200"/>
      <c r="AH22" s="688"/>
      <c r="AM22" s="614"/>
      <c r="AN22" s="614"/>
      <c r="AO22" s="614"/>
    </row>
    <row r="23" spans="2:41" ht="15" customHeight="1" x14ac:dyDescent="0.3">
      <c r="B23" s="1187"/>
      <c r="C23" s="672"/>
      <c r="D23" s="594"/>
      <c r="E23" s="575"/>
      <c r="F23" s="575"/>
      <c r="G23" s="575"/>
      <c r="H23" s="575"/>
      <c r="I23" s="595"/>
      <c r="J23" s="672"/>
      <c r="K23" s="594"/>
      <c r="L23" s="575"/>
      <c r="M23" s="575"/>
      <c r="N23" s="575"/>
      <c r="O23" s="575"/>
      <c r="P23" s="595"/>
      <c r="Q23" s="672"/>
      <c r="R23" s="594"/>
      <c r="S23" s="575"/>
      <c r="T23" s="575"/>
      <c r="U23" s="575"/>
      <c r="V23" s="575"/>
      <c r="W23" s="595"/>
      <c r="X23" s="672"/>
      <c r="Y23" s="1195"/>
      <c r="Z23" s="1163"/>
      <c r="AA23" s="1195"/>
      <c r="AB23" s="1163"/>
      <c r="AC23" s="1214"/>
      <c r="AD23" s="1177"/>
      <c r="AE23" s="1184"/>
      <c r="AF23" s="1177"/>
      <c r="AG23" s="1201"/>
      <c r="AH23" s="688"/>
      <c r="AM23" s="622"/>
      <c r="AN23" s="622"/>
      <c r="AO23" s="622"/>
    </row>
    <row r="24" spans="2:41" ht="15" customHeight="1" x14ac:dyDescent="0.3">
      <c r="B24" s="1185" t="s">
        <v>30</v>
      </c>
      <c r="C24" s="673"/>
      <c r="D24" s="596"/>
      <c r="E24" s="577"/>
      <c r="F24" s="577"/>
      <c r="G24" s="577"/>
      <c r="H24" s="577"/>
      <c r="I24" s="597"/>
      <c r="J24" s="673"/>
      <c r="K24" s="596"/>
      <c r="L24" s="577"/>
      <c r="M24" s="577"/>
      <c r="N24" s="577"/>
      <c r="O24" s="577"/>
      <c r="P24" s="597"/>
      <c r="Q24" s="673"/>
      <c r="R24" s="596"/>
      <c r="S24" s="577"/>
      <c r="T24" s="577"/>
      <c r="U24" s="577"/>
      <c r="V24" s="577"/>
      <c r="W24" s="597"/>
      <c r="X24" s="677"/>
      <c r="Y24" s="683"/>
      <c r="Z24" s="1164" t="s">
        <v>593</v>
      </c>
      <c r="AA24" s="683"/>
      <c r="AB24" s="1164" t="s">
        <v>592</v>
      </c>
      <c r="AC24" s="1209">
        <f xml:space="preserve"> ValueCreation!H47</f>
        <v>3.1343840271776557E-2</v>
      </c>
      <c r="AD24" s="1174" t="s">
        <v>591</v>
      </c>
      <c r="AE24" s="1179">
        <f xml:space="preserve"> ValueCreation!$F$47</f>
        <v>57111.767809347497</v>
      </c>
      <c r="AF24" s="1174" t="s">
        <v>592</v>
      </c>
      <c r="AG24" s="1199">
        <f>ValueCreation!F36</f>
        <v>1790.1021278549815</v>
      </c>
      <c r="AH24" s="688"/>
      <c r="AM24" s="619">
        <f xml:space="preserve"> ValueCreation!$H$36</f>
        <v>0.28094858270417877</v>
      </c>
      <c r="AN24" s="620">
        <f xml:space="preserve"> 1-AM24</f>
        <v>0.71905141729582123</v>
      </c>
      <c r="AO24" s="621">
        <v>1</v>
      </c>
    </row>
    <row r="25" spans="2:41" ht="15" customHeight="1" x14ac:dyDescent="0.3">
      <c r="B25" s="1186"/>
      <c r="C25" s="671"/>
      <c r="D25" s="592"/>
      <c r="E25" s="574"/>
      <c r="F25" s="574"/>
      <c r="G25" s="574"/>
      <c r="H25" s="574"/>
      <c r="I25" s="593"/>
      <c r="J25" s="671"/>
      <c r="K25" s="592"/>
      <c r="L25" s="574"/>
      <c r="M25" s="574"/>
      <c r="N25" s="574"/>
      <c r="O25" s="574"/>
      <c r="P25" s="593"/>
      <c r="Q25" s="671"/>
      <c r="R25" s="592"/>
      <c r="S25" s="574"/>
      <c r="T25" s="574"/>
      <c r="U25" s="574"/>
      <c r="V25" s="574"/>
      <c r="W25" s="593"/>
      <c r="X25" s="678"/>
      <c r="Y25" s="684"/>
      <c r="Z25" s="1165"/>
      <c r="AA25" s="684"/>
      <c r="AB25" s="1165"/>
      <c r="AC25" s="1210"/>
      <c r="AD25" s="1175"/>
      <c r="AE25" s="1180"/>
      <c r="AF25" s="1175"/>
      <c r="AG25" s="1200"/>
      <c r="AH25" s="688"/>
      <c r="AM25" s="616">
        <f xml:space="preserve"> ValueCreation!$J$36</f>
        <v>0.24960474243240222</v>
      </c>
      <c r="AN25" s="617">
        <f xml:space="preserve"> 1-AM25</f>
        <v>0.75039525756759784</v>
      </c>
      <c r="AO25" s="618">
        <v>1</v>
      </c>
    </row>
    <row r="26" spans="2:41" ht="15" customHeight="1" x14ac:dyDescent="0.3">
      <c r="B26" s="1186"/>
      <c r="C26" s="671"/>
      <c r="D26" s="592"/>
      <c r="E26" s="574"/>
      <c r="F26" s="574"/>
      <c r="G26" s="574"/>
      <c r="H26" s="574"/>
      <c r="I26" s="593"/>
      <c r="J26" s="671"/>
      <c r="K26" s="592"/>
      <c r="L26" s="574"/>
      <c r="M26" s="574"/>
      <c r="N26" s="574"/>
      <c r="O26" s="574"/>
      <c r="P26" s="593"/>
      <c r="Q26" s="671"/>
      <c r="R26" s="592"/>
      <c r="S26" s="574"/>
      <c r="T26" s="574"/>
      <c r="U26" s="574"/>
      <c r="V26" s="574"/>
      <c r="W26" s="593"/>
      <c r="X26" s="678"/>
      <c r="Y26" s="684"/>
      <c r="Z26" s="1165"/>
      <c r="AA26" s="684"/>
      <c r="AB26" s="1165"/>
      <c r="AC26" s="1210"/>
      <c r="AD26" s="1175"/>
      <c r="AE26" s="1180"/>
      <c r="AF26" s="1175"/>
      <c r="AG26" s="1200"/>
      <c r="AH26" s="688"/>
      <c r="AM26" s="614"/>
      <c r="AN26" s="614"/>
      <c r="AO26" s="614"/>
    </row>
    <row r="27" spans="2:41" ht="15" customHeight="1" x14ac:dyDescent="0.3">
      <c r="B27" s="1186"/>
      <c r="C27" s="671"/>
      <c r="D27" s="592"/>
      <c r="E27" s="574"/>
      <c r="F27" s="574"/>
      <c r="G27" s="574"/>
      <c r="H27" s="574"/>
      <c r="I27" s="593"/>
      <c r="J27" s="671"/>
      <c r="K27" s="592"/>
      <c r="L27" s="574"/>
      <c r="M27" s="574"/>
      <c r="N27" s="574"/>
      <c r="O27" s="574"/>
      <c r="P27" s="593"/>
      <c r="Q27" s="671"/>
      <c r="R27" s="592"/>
      <c r="S27" s="574"/>
      <c r="T27" s="574"/>
      <c r="U27" s="574"/>
      <c r="V27" s="574"/>
      <c r="W27" s="593"/>
      <c r="X27" s="678"/>
      <c r="Y27" s="1193">
        <f xml:space="preserve"> ValueCreation!$H$36</f>
        <v>0.28094858270417877</v>
      </c>
      <c r="Z27" s="1165"/>
      <c r="AA27" s="1193">
        <f xml:space="preserve"> ValueCreation!$J$36</f>
        <v>0.24960474243240222</v>
      </c>
      <c r="AB27" s="1165"/>
      <c r="AC27" s="1210"/>
      <c r="AD27" s="1175"/>
      <c r="AE27" s="1180"/>
      <c r="AF27" s="1175"/>
      <c r="AG27" s="1200"/>
      <c r="AH27" s="688"/>
      <c r="AM27" s="614"/>
      <c r="AN27" s="614"/>
      <c r="AO27" s="614"/>
    </row>
    <row r="28" spans="2:41" ht="15" customHeight="1" thickBot="1" x14ac:dyDescent="0.35">
      <c r="B28" s="1187"/>
      <c r="C28" s="674"/>
      <c r="D28" s="594"/>
      <c r="E28" s="575"/>
      <c r="F28" s="575"/>
      <c r="G28" s="575"/>
      <c r="H28" s="575"/>
      <c r="I28" s="595"/>
      <c r="J28" s="674"/>
      <c r="K28" s="594"/>
      <c r="L28" s="575"/>
      <c r="M28" s="575"/>
      <c r="N28" s="575"/>
      <c r="O28" s="575"/>
      <c r="P28" s="595"/>
      <c r="Q28" s="674"/>
      <c r="R28" s="594"/>
      <c r="S28" s="575"/>
      <c r="T28" s="575"/>
      <c r="U28" s="575"/>
      <c r="V28" s="575"/>
      <c r="W28" s="595"/>
      <c r="X28" s="679"/>
      <c r="Y28" s="1194"/>
      <c r="Z28" s="1163"/>
      <c r="AA28" s="1194"/>
      <c r="AB28" s="1163"/>
      <c r="AC28" s="1215"/>
      <c r="AD28" s="1177"/>
      <c r="AE28" s="1208"/>
      <c r="AF28" s="1177"/>
      <c r="AG28" s="1203"/>
      <c r="AH28" s="688"/>
      <c r="AM28" s="622"/>
      <c r="AN28" s="622"/>
      <c r="AO28" s="622"/>
    </row>
    <row r="29" spans="2:41" x14ac:dyDescent="0.3">
      <c r="C29" s="613"/>
      <c r="J29" s="613"/>
      <c r="Q29" s="613"/>
      <c r="X29" s="613"/>
      <c r="Y29" s="613"/>
      <c r="Z29" s="613"/>
      <c r="AA29" s="613"/>
      <c r="AB29" s="613"/>
      <c r="AC29" s="613"/>
      <c r="AD29" s="613"/>
      <c r="AE29" s="613"/>
      <c r="AF29" s="613"/>
      <c r="AG29" s="613"/>
      <c r="AM29" s="613"/>
      <c r="AN29" s="613"/>
      <c r="AO29" s="613"/>
    </row>
    <row r="30" spans="2:41" x14ac:dyDescent="0.3"/>
  </sheetData>
  <sheetProtection sheet="1" objects="1" scenarios="1" selectLockedCells="1" selectUnlockedCells="1"/>
  <mergeCells count="58">
    <mergeCell ref="AD2:AD3"/>
    <mergeCell ref="AF2:AF3"/>
    <mergeCell ref="AE2:AE3"/>
    <mergeCell ref="AC2:AC3"/>
    <mergeCell ref="AE4:AE8"/>
    <mergeCell ref="AC4:AC8"/>
    <mergeCell ref="AD4:AD8"/>
    <mergeCell ref="AE24:AE28"/>
    <mergeCell ref="AA22:AA23"/>
    <mergeCell ref="AC9:AC13"/>
    <mergeCell ref="AC14:AC18"/>
    <mergeCell ref="AC19:AC23"/>
    <mergeCell ref="AC24:AC28"/>
    <mergeCell ref="AD9:AD13"/>
    <mergeCell ref="AD14:AD18"/>
    <mergeCell ref="AD19:AD23"/>
    <mergeCell ref="AD24:AD28"/>
    <mergeCell ref="AB24:AB28"/>
    <mergeCell ref="AB14:AB18"/>
    <mergeCell ref="AB19:AB23"/>
    <mergeCell ref="AG4:AG8"/>
    <mergeCell ref="AG9:AG13"/>
    <mergeCell ref="AG24:AG28"/>
    <mergeCell ref="AG19:AG23"/>
    <mergeCell ref="AG14:AG18"/>
    <mergeCell ref="AF24:AF28"/>
    <mergeCell ref="B4:B8"/>
    <mergeCell ref="B9:B13"/>
    <mergeCell ref="B14:B18"/>
    <mergeCell ref="B19:B23"/>
    <mergeCell ref="B24:B28"/>
    <mergeCell ref="Y27:Y28"/>
    <mergeCell ref="AA27:AA28"/>
    <mergeCell ref="AA7:AA8"/>
    <mergeCell ref="Y7:Y8"/>
    <mergeCell ref="Y12:Y13"/>
    <mergeCell ref="AA12:AA13"/>
    <mergeCell ref="Y17:Y18"/>
    <mergeCell ref="AA17:AA18"/>
    <mergeCell ref="Y22:Y23"/>
    <mergeCell ref="Z24:Z28"/>
    <mergeCell ref="Z14:Z18"/>
    <mergeCell ref="Z19:Z23"/>
    <mergeCell ref="AF14:AF18"/>
    <mergeCell ref="AF9:AF13"/>
    <mergeCell ref="AF4:AF8"/>
    <mergeCell ref="AF19:AF23"/>
    <mergeCell ref="AE9:AE13"/>
    <mergeCell ref="AE14:AE18"/>
    <mergeCell ref="AE19:AE23"/>
    <mergeCell ref="Y2:Y3"/>
    <mergeCell ref="AA2:AA3"/>
    <mergeCell ref="AB2:AB3"/>
    <mergeCell ref="AB4:AB8"/>
    <mergeCell ref="AB9:AB13"/>
    <mergeCell ref="Z2:Z3"/>
    <mergeCell ref="Z4:Z8"/>
    <mergeCell ref="Z9:Z13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18DB9-EB49-42C6-AC1B-79BA77E30FEC}">
  <dimension ref="A1:X83"/>
  <sheetViews>
    <sheetView zoomScaleNormal="100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H4" sqref="H4"/>
    </sheetView>
  </sheetViews>
  <sheetFormatPr defaultColWidth="9.109375" defaultRowHeight="13.2" x14ac:dyDescent="0.3"/>
  <cols>
    <col min="1" max="3" width="1.6640625" style="196" customWidth="1"/>
    <col min="4" max="6" width="5.6640625" style="196" customWidth="1"/>
    <col min="7" max="7" width="57.109375" style="196" customWidth="1"/>
    <col min="8" max="8" width="8.5546875" style="196" customWidth="1"/>
    <col min="9" max="14" width="11.33203125" style="196" customWidth="1"/>
    <col min="15" max="15" width="2.88671875" style="196" customWidth="1"/>
    <col min="16" max="16" width="9.109375" style="196"/>
    <col min="17" max="17" width="2.88671875" style="196" customWidth="1"/>
    <col min="18" max="18" width="17.109375" style="196" customWidth="1"/>
    <col min="19" max="19" width="7.88671875" style="196" customWidth="1"/>
    <col min="20" max="16384" width="9.109375" style="196"/>
  </cols>
  <sheetData>
    <row r="1" spans="1:19" ht="13.8" thickBot="1" x14ac:dyDescent="0.35"/>
    <row r="2" spans="1:19" s="932" customFormat="1" ht="21.6" thickBot="1" x14ac:dyDescent="0.35">
      <c r="C2" s="933"/>
      <c r="G2" s="933" t="s">
        <v>883</v>
      </c>
    </row>
    <row r="3" spans="1:19" s="38" customFormat="1" ht="6.6" x14ac:dyDescent="0.3"/>
    <row r="4" spans="1:19" s="38" customFormat="1" ht="7.2" thickBot="1" x14ac:dyDescent="0.35"/>
    <row r="5" spans="1:19" s="98" customFormat="1" ht="16.8" thickBot="1" x14ac:dyDescent="0.35">
      <c r="A5" s="96"/>
      <c r="B5" s="97"/>
      <c r="C5" s="96"/>
      <c r="D5" s="99"/>
      <c r="E5" s="97"/>
      <c r="F5" s="97"/>
      <c r="H5" s="97" t="s">
        <v>670</v>
      </c>
    </row>
    <row r="6" spans="1:19" ht="13.8" thickBot="1" x14ac:dyDescent="0.35"/>
    <row r="7" spans="1:19" s="104" customFormat="1" ht="16.2" thickBot="1" x14ac:dyDescent="0.35">
      <c r="I7" s="889" t="s">
        <v>756</v>
      </c>
      <c r="J7" s="890" t="s">
        <v>757</v>
      </c>
      <c r="K7" s="890" t="s">
        <v>758</v>
      </c>
      <c r="L7" s="890" t="s">
        <v>759</v>
      </c>
      <c r="M7" s="890" t="s">
        <v>760</v>
      </c>
      <c r="N7" s="891" t="s">
        <v>761</v>
      </c>
      <c r="P7" s="885" t="s">
        <v>762</v>
      </c>
    </row>
    <row r="8" spans="1:19" s="871" customFormat="1" ht="4.8" thickBot="1" x14ac:dyDescent="0.35">
      <c r="I8" s="883"/>
      <c r="J8" s="883"/>
      <c r="K8" s="883"/>
      <c r="L8" s="883"/>
      <c r="M8" s="883"/>
      <c r="N8" s="883"/>
      <c r="P8" s="883"/>
    </row>
    <row r="9" spans="1:19" s="104" customFormat="1" ht="14.4" x14ac:dyDescent="0.3">
      <c r="D9" s="872" t="s">
        <v>763</v>
      </c>
      <c r="G9" s="873" t="s">
        <v>201</v>
      </c>
      <c r="H9" s="903" t="s">
        <v>763</v>
      </c>
      <c r="I9" s="892">
        <f xml:space="preserve"> INDEX( SplitScreenStrip!$G$68:$Y$71, MATCH( $D9, SplitScreenStrip!$D$68:$D$71, 0 ), MATCH( I$7, SplitScreenStrip!$G$67:$Y$67, 0 ) )</f>
        <v>23750</v>
      </c>
      <c r="J9" s="893">
        <f xml:space="preserve"> INDEX( SplitScreenStrip!$G$68:$Y$71, MATCH( $D9, SplitScreenStrip!$D$68:$D$71, 0 ), MATCH( J$7, SplitScreenStrip!$G$67:$Y$67, 0 ) )</f>
        <v>19046.232876712329</v>
      </c>
      <c r="K9" s="893">
        <f xml:space="preserve"> INDEX( SplitScreenStrip!$G$68:$Y$71, MATCH( $D9, SplitScreenStrip!$D$68:$D$71, 0 ), MATCH( K$7, SplitScreenStrip!$G$67:$Y$67, 0 ) )</f>
        <v>15350.856164383562</v>
      </c>
      <c r="L9" s="893">
        <f xml:space="preserve"> INDEX( SplitScreenStrip!$G$68:$Y$71, MATCH( $D9, SplitScreenStrip!$D$68:$D$71, 0 ), MATCH( L$7, SplitScreenStrip!$G$67:$Y$67, 0 ) )</f>
        <v>11685.941780821917</v>
      </c>
      <c r="M9" s="893">
        <f xml:space="preserve"> INDEX( SplitScreenStrip!$G$68:$Y$71, MATCH( $D9, SplitScreenStrip!$D$68:$D$71, 0 ), MATCH( M$7, SplitScreenStrip!$G$67:$Y$67, 0 ) )</f>
        <v>8054.7243150684935</v>
      </c>
      <c r="N9" s="894">
        <f xml:space="preserve"> INDEX( SplitScreenStrip!$G$68:$Y$71, MATCH( $D9, SplitScreenStrip!$D$68:$D$71, 0 ), MATCH( N$7, SplitScreenStrip!$G$67:$Y$67, 0 ) )</f>
        <v>0</v>
      </c>
      <c r="P9" s="901">
        <f xml:space="preserve"> SUM( I9:N9 )</f>
        <v>77887.755136986307</v>
      </c>
    </row>
    <row r="10" spans="1:19" s="104" customFormat="1" ht="16.5" customHeight="1" thickBot="1" x14ac:dyDescent="0.35">
      <c r="D10" s="872" t="s">
        <v>764</v>
      </c>
      <c r="G10" s="929" t="s">
        <v>188</v>
      </c>
      <c r="H10" s="904" t="s">
        <v>764</v>
      </c>
      <c r="I10" s="895">
        <f xml:space="preserve"> INDEX( SplitScreenStrip!$G$68:$Y$71, MATCH( $D10, SplitScreenStrip!$D$68:$D$71, 0 ), MATCH( I$7, SplitScreenStrip!$G$67:$Y$67, 0 ) )</f>
        <v>-3750</v>
      </c>
      <c r="J10" s="896">
        <f xml:space="preserve"> INDEX( SplitScreenStrip!$G$68:$Y$71, MATCH( $D10, SplitScreenStrip!$D$68:$D$71, 0 ), MATCH( J$7, SplitScreenStrip!$G$67:$Y$67, 0 ) )</f>
        <v>-513.13287671233275</v>
      </c>
      <c r="K10" s="896">
        <f xml:space="preserve"> INDEX( SplitScreenStrip!$G$68:$Y$71, MATCH( $D10, SplitScreenStrip!$D$68:$D$71, 0 ), MATCH( K$7, SplitScreenStrip!$G$67:$Y$67, 0 ) )</f>
        <v>2459.5399753424635</v>
      </c>
      <c r="L10" s="896">
        <f xml:space="preserve"> INDEX( SplitScreenStrip!$G$68:$Y$71, MATCH( $D10, SplitScreenStrip!$D$68:$D$71, 0 ), MATCH( L$7, SplitScreenStrip!$G$67:$Y$67, 0 ) )</f>
        <v>6209.4479185589062</v>
      </c>
      <c r="M10" s="896">
        <f xml:space="preserve"> INDEX( SplitScreenStrip!$G$68:$Y$71, MATCH( $D10, SplitScreenStrip!$D$68:$D$71, 0 ), MATCH( M$7, SplitScreenStrip!$G$67:$Y$67, 0 ) )</f>
        <v>10818.157655172152</v>
      </c>
      <c r="N10" s="897">
        <f xml:space="preserve"> INDEX( SplitScreenStrip!$G$68:$Y$71, MATCH( $D10, SplitScreenStrip!$D$68:$D$71, 0 ), MATCH( N$7, SplitScreenStrip!$G$67:$Y$67, 0 ) )</f>
        <v>0</v>
      </c>
      <c r="P10" s="902">
        <f xml:space="preserve"> SUM( I10:N10 )</f>
        <v>15224.01267236119</v>
      </c>
    </row>
    <row r="11" spans="1:19" s="104" customFormat="1" ht="15" thickBot="1" x14ac:dyDescent="0.35">
      <c r="G11" s="930" t="s">
        <v>29</v>
      </c>
      <c r="H11" s="887" t="s">
        <v>765</v>
      </c>
      <c r="I11" s="898">
        <f t="shared" ref="I11:N11" si="0" xml:space="preserve"> SUM( I9:I10 )</f>
        <v>20000</v>
      </c>
      <c r="J11" s="899">
        <f t="shared" si="0"/>
        <v>18533.099999999995</v>
      </c>
      <c r="K11" s="899">
        <f t="shared" si="0"/>
        <v>17810.396139726025</v>
      </c>
      <c r="L11" s="899">
        <f t="shared" si="0"/>
        <v>17895.389699380823</v>
      </c>
      <c r="M11" s="899">
        <f t="shared" si="0"/>
        <v>18872.881970240647</v>
      </c>
      <c r="N11" s="900">
        <f t="shared" si="0"/>
        <v>0</v>
      </c>
      <c r="P11" s="886">
        <f xml:space="preserve"> SUM( I11:N11 )</f>
        <v>93111.767809347482</v>
      </c>
    </row>
    <row r="12" spans="1:19" s="871" customFormat="1" ht="4.8" thickBot="1" x14ac:dyDescent="0.35">
      <c r="H12" s="884"/>
      <c r="I12" s="883"/>
      <c r="J12" s="883"/>
      <c r="K12" s="883"/>
      <c r="L12" s="883"/>
      <c r="M12" s="883"/>
      <c r="N12" s="883"/>
      <c r="P12" s="883"/>
    </row>
    <row r="13" spans="1:19" s="104" customFormat="1" ht="14.4" x14ac:dyDescent="0.3">
      <c r="D13" s="872" t="s">
        <v>766</v>
      </c>
      <c r="G13" s="873" t="s">
        <v>127</v>
      </c>
      <c r="H13" s="903" t="s">
        <v>766</v>
      </c>
      <c r="I13" s="892">
        <f xml:space="preserve"> INDEX( SplitScreenStrip!$G$68:$Y$71, MATCH( $D13, SplitScreenStrip!$D$68:$D$71, 0 ), MATCH( I$7, SplitScreenStrip!$G$67:$Y$67, 0 ) )</f>
        <v>12000</v>
      </c>
      <c r="J13" s="893">
        <f xml:space="preserve"> INDEX( SplitScreenStrip!$G$68:$Y$71, MATCH( $D13, SplitScreenStrip!$D$68:$D$71, 0 ), MATCH( J$7, SplitScreenStrip!$G$67:$Y$67, 0 ) )</f>
        <v>9600</v>
      </c>
      <c r="K13" s="893">
        <f xml:space="preserve"> INDEX( SplitScreenStrip!$G$68:$Y$71, MATCH( $D13, SplitScreenStrip!$D$68:$D$71, 0 ), MATCH( K$7, SplitScreenStrip!$G$67:$Y$67, 0 ) )</f>
        <v>7200</v>
      </c>
      <c r="L13" s="893">
        <f xml:space="preserve"> INDEX( SplitScreenStrip!$G$68:$Y$71, MATCH( $D13, SplitScreenStrip!$D$68:$D$71, 0 ), MATCH( L$7, SplitScreenStrip!$G$67:$Y$67, 0 ) )</f>
        <v>4800</v>
      </c>
      <c r="M13" s="893">
        <f xml:space="preserve"> INDEX( SplitScreenStrip!$G$68:$Y$71, MATCH( $D13, SplitScreenStrip!$D$68:$D$71, 0 ), MATCH( M$7, SplitScreenStrip!$G$67:$Y$67, 0 ) )</f>
        <v>2400</v>
      </c>
      <c r="N13" s="894">
        <f xml:space="preserve"> INDEX( SplitScreenStrip!$G$68:$Y$71, MATCH( $D13, SplitScreenStrip!$D$68:$D$71, 0 ), MATCH( N$7, SplitScreenStrip!$G$67:$Y$67, 0 ) )</f>
        <v>0</v>
      </c>
      <c r="P13" s="901">
        <f xml:space="preserve"> SUM( I13:N13 )</f>
        <v>36000</v>
      </c>
    </row>
    <row r="14" spans="1:19" s="104" customFormat="1" ht="15" thickBot="1" x14ac:dyDescent="0.35">
      <c r="D14" s="872" t="s">
        <v>767</v>
      </c>
      <c r="G14" s="929" t="s">
        <v>128</v>
      </c>
      <c r="H14" s="904" t="s">
        <v>767</v>
      </c>
      <c r="I14" s="895">
        <f xml:space="preserve"> INDEX( SplitScreenStrip!$G$68:$Y$71, MATCH( $D14, SplitScreenStrip!$D$68:$D$71, 0 ), MATCH( I$7, SplitScreenStrip!$G$67:$Y$67, 0 ) )</f>
        <v>8000</v>
      </c>
      <c r="J14" s="896">
        <f xml:space="preserve"> INDEX( SplitScreenStrip!$G$68:$Y$71, MATCH( $D14, SplitScreenStrip!$D$68:$D$71, 0 ), MATCH( J$7, SplitScreenStrip!$G$67:$Y$67, 0 ) )</f>
        <v>8933.1</v>
      </c>
      <c r="K14" s="896">
        <f xml:space="preserve"> INDEX( SplitScreenStrip!$G$68:$Y$71, MATCH( $D14, SplitScreenStrip!$D$68:$D$71, 0 ), MATCH( K$7, SplitScreenStrip!$G$67:$Y$67, 0 ) )</f>
        <v>10610.396139726026</v>
      </c>
      <c r="L14" s="896">
        <f xml:space="preserve"> INDEX( SplitScreenStrip!$G$68:$Y$71, MATCH( $D14, SplitScreenStrip!$D$68:$D$71, 0 ), MATCH( L$7, SplitScreenStrip!$G$67:$Y$67, 0 ) )</f>
        <v>13095.389699380821</v>
      </c>
      <c r="M14" s="896">
        <f xml:space="preserve"> INDEX( SplitScreenStrip!$G$68:$Y$71, MATCH( $D14, SplitScreenStrip!$D$68:$D$71, 0 ), MATCH( M$7, SplitScreenStrip!$G$67:$Y$67, 0 ) )</f>
        <v>16472.881970240644</v>
      </c>
      <c r="N14" s="897">
        <f xml:space="preserve"> INDEX( SplitScreenStrip!$G$68:$Y$71, MATCH( $D14, SplitScreenStrip!$D$68:$D$71, 0 ), MATCH( N$7, SplitScreenStrip!$G$67:$Y$67, 0 ) )</f>
        <v>0</v>
      </c>
      <c r="P14" s="902">
        <f xml:space="preserve"> SUM( I14:N14 )</f>
        <v>57111.767809347497</v>
      </c>
      <c r="Q14" s="875"/>
      <c r="R14" s="875"/>
    </row>
    <row r="15" spans="1:19" s="104" customFormat="1" ht="15" thickBot="1" x14ac:dyDescent="0.35">
      <c r="G15" s="930" t="s">
        <v>28</v>
      </c>
      <c r="H15" s="888" t="s">
        <v>768</v>
      </c>
      <c r="I15" s="898">
        <f t="shared" ref="I15:N15" si="1" xml:space="preserve"> SUM( I13:I14 )</f>
        <v>20000</v>
      </c>
      <c r="J15" s="899">
        <f t="shared" si="1"/>
        <v>18533.099999999999</v>
      </c>
      <c r="K15" s="899">
        <f t="shared" si="1"/>
        <v>17810.396139726028</v>
      </c>
      <c r="L15" s="899">
        <f t="shared" si="1"/>
        <v>17895.389699380823</v>
      </c>
      <c r="M15" s="899">
        <f t="shared" si="1"/>
        <v>18872.881970240644</v>
      </c>
      <c r="N15" s="900">
        <f t="shared" si="1"/>
        <v>0</v>
      </c>
      <c r="P15" s="886">
        <f xml:space="preserve"> SUM( I15:N15 )</f>
        <v>93111.767809347497</v>
      </c>
      <c r="Q15" s="876"/>
      <c r="R15" s="752" t="s">
        <v>682</v>
      </c>
      <c r="S15" s="750" t="str">
        <f xml:space="preserve"> IF( ABS(P15-P11) &lt; 10^-8, "ok", "ERR" )</f>
        <v>ok</v>
      </c>
    </row>
    <row r="16" spans="1:19" s="104" customFormat="1" ht="13.8" thickBot="1" x14ac:dyDescent="0.35">
      <c r="Q16" s="877"/>
      <c r="R16" s="878"/>
    </row>
    <row r="17" spans="5:19" s="104" customFormat="1" ht="16.2" thickBot="1" x14ac:dyDescent="0.35">
      <c r="I17" s="905" t="s">
        <v>769</v>
      </c>
      <c r="J17" s="906" t="s">
        <v>770</v>
      </c>
      <c r="K17" s="906" t="s">
        <v>771</v>
      </c>
      <c r="L17" s="906" t="s">
        <v>772</v>
      </c>
      <c r="M17" s="906" t="s">
        <v>773</v>
      </c>
      <c r="N17" s="907" t="s">
        <v>774</v>
      </c>
      <c r="P17" s="908" t="s">
        <v>775</v>
      </c>
      <c r="R17" s="879"/>
    </row>
    <row r="18" spans="5:19" s="871" customFormat="1" ht="4.8" thickBot="1" x14ac:dyDescent="0.35">
      <c r="I18" s="883"/>
      <c r="J18" s="883"/>
      <c r="K18" s="883"/>
      <c r="L18" s="883"/>
      <c r="M18" s="883"/>
      <c r="N18" s="883"/>
      <c r="P18" s="883"/>
    </row>
    <row r="19" spans="5:19" s="104" customFormat="1" ht="14.4" x14ac:dyDescent="0.3">
      <c r="E19" s="872" t="s">
        <v>776</v>
      </c>
      <c r="G19" s="873" t="s">
        <v>521</v>
      </c>
      <c r="H19" s="915" t="s">
        <v>776</v>
      </c>
      <c r="I19" s="892">
        <f xml:space="preserve"> INDEX( SplitScreenStrip!$G$68:$Y$71, MATCH( $E19, SplitScreenStrip!$E$68:$E$71, 0 ), MATCH( "+"&amp;I$17, SplitScreenStrip!$G$67:$Y$67, 0 ) )</f>
        <v>0</v>
      </c>
      <c r="J19" s="893">
        <f xml:space="preserve"> INDEX( SplitScreenStrip!$G$68:$Y$71, MATCH( $E19, SplitScreenStrip!$E$68:$E$71, 0 ), MATCH( "+"&amp;J$17, SplitScreenStrip!$G$67:$Y$67, 0 ) )</f>
        <v>1500.125</v>
      </c>
      <c r="K19" s="893">
        <f xml:space="preserve"> INDEX( SplitScreenStrip!$G$68:$Y$71, MATCH( $E19, SplitScreenStrip!$E$68:$E$71, 0 ), MATCH( "+"&amp;K$17, SplitScreenStrip!$G$67:$Y$67, 0 ) )</f>
        <v>2301.4484965753427</v>
      </c>
      <c r="L19" s="893">
        <f xml:space="preserve"> INDEX( SplitScreenStrip!$G$68:$Y$71, MATCH( $E19, SplitScreenStrip!$E$68:$E$71, 0 ), MATCH( "+"&amp;L$17, SplitScreenStrip!$G$67:$Y$67, 0 ) )</f>
        <v>3188.7534501849314</v>
      </c>
      <c r="M19" s="893">
        <f xml:space="preserve"> INDEX( SplitScreenStrip!$G$68:$Y$71, MATCH( $E19, SplitScreenStrip!$E$68:$E$71, 0 ), MATCH( "+"&amp;M$17, SplitScreenStrip!$G$67:$Y$67, 0 ) )</f>
        <v>4162.6291406108085</v>
      </c>
      <c r="N19" s="894">
        <f xml:space="preserve"> INDEX( SplitScreenStrip!$G$68:$Y$71, MATCH( $E19, SplitScreenStrip!$E$68:$E$71, 0 ), MATCH( "+"&amp;N$17, SplitScreenStrip!$G$67:$Y$67, 0 ) )</f>
        <v>5231.9138175862099</v>
      </c>
      <c r="P19" s="901">
        <f xml:space="preserve"> SUM( I19:N19 )</f>
        <v>16384.869904957293</v>
      </c>
      <c r="R19" s="879"/>
    </row>
    <row r="20" spans="5:19" s="104" customFormat="1" ht="15" thickBot="1" x14ac:dyDescent="0.35">
      <c r="E20" s="872" t="s">
        <v>777</v>
      </c>
      <c r="G20" s="931" t="s">
        <v>57</v>
      </c>
      <c r="H20" s="916" t="s">
        <v>777</v>
      </c>
      <c r="I20" s="895">
        <f xml:space="preserve"> INDEX( SplitScreenStrip!$G$68:$Y$71, MATCH( $E20, SplitScreenStrip!$E$68:$E$71, 0 ), MATCH( "+"&amp;I$17, SplitScreenStrip!$G$67:$Y$67, 0 ) )</f>
        <v>0</v>
      </c>
      <c r="J20" s="896">
        <f xml:space="preserve"> INDEX( SplitScreenStrip!$G$68:$Y$71, MATCH( $E20, SplitScreenStrip!$E$68:$E$71, 0 ), MATCH( "+"&amp;J$17, SplitScreenStrip!$G$67:$Y$67, 0 ) )</f>
        <v>-93.75</v>
      </c>
      <c r="K20" s="896">
        <f xml:space="preserve"> INDEX( SplitScreenStrip!$G$68:$Y$71, MATCH( $E20, SplitScreenStrip!$E$68:$E$71, 0 ), MATCH( "+"&amp;K$17, SplitScreenStrip!$G$67:$Y$67, 0 ) )</f>
        <v>-12.828321917808319</v>
      </c>
      <c r="L20" s="896">
        <f xml:space="preserve"> INDEX( SplitScreenStrip!$G$68:$Y$71, MATCH( $E20, SplitScreenStrip!$E$68:$E$71, 0 ), MATCH( "+"&amp;L$17, SplitScreenStrip!$G$67:$Y$67, 0 ) )</f>
        <v>61.488499383561589</v>
      </c>
      <c r="M20" s="896">
        <f xml:space="preserve"> INDEX( SplitScreenStrip!$G$68:$Y$71, MATCH( $E20, SplitScreenStrip!$E$68:$E$71, 0 ), MATCH( "+"&amp;M$17, SplitScreenStrip!$G$67:$Y$67, 0 ) )</f>
        <v>155.23619796397267</v>
      </c>
      <c r="N20" s="897">
        <f xml:space="preserve"> INDEX( SplitScreenStrip!$G$68:$Y$71, MATCH( $E20, SplitScreenStrip!$E$68:$E$71, 0 ), MATCH( "+"&amp;N$17, SplitScreenStrip!$G$67:$Y$67, 0 ) )</f>
        <v>270.45394137930379</v>
      </c>
      <c r="P20" s="902">
        <f xml:space="preserve"> SUM( I20:N20 )</f>
        <v>380.60031680902972</v>
      </c>
    </row>
    <row r="21" spans="5:19" s="104" customFormat="1" ht="15" thickBot="1" x14ac:dyDescent="0.35">
      <c r="G21" s="930" t="s">
        <v>522</v>
      </c>
      <c r="H21" s="910" t="s">
        <v>778</v>
      </c>
      <c r="I21" s="911">
        <f t="shared" ref="I21:N21" si="2" xml:space="preserve"> SUM( I19:I20 )</f>
        <v>0</v>
      </c>
      <c r="J21" s="912">
        <f t="shared" si="2"/>
        <v>1406.375</v>
      </c>
      <c r="K21" s="912">
        <f t="shared" si="2"/>
        <v>2288.6201746575343</v>
      </c>
      <c r="L21" s="912">
        <f t="shared" si="2"/>
        <v>3250.2419495684931</v>
      </c>
      <c r="M21" s="912">
        <f t="shared" si="2"/>
        <v>4317.8653385747812</v>
      </c>
      <c r="N21" s="913">
        <f t="shared" si="2"/>
        <v>5502.3677589655135</v>
      </c>
      <c r="P21" s="909">
        <f xml:space="preserve"> SUM( I21:N21 )</f>
        <v>16765.470221766322</v>
      </c>
      <c r="R21" s="880"/>
    </row>
    <row r="22" spans="5:19" s="871" customFormat="1" ht="4.8" thickBot="1" x14ac:dyDescent="0.35">
      <c r="H22" s="884"/>
      <c r="I22" s="883"/>
      <c r="J22" s="883"/>
      <c r="K22" s="883"/>
      <c r="L22" s="883"/>
      <c r="M22" s="883"/>
      <c r="N22" s="883"/>
      <c r="P22" s="883"/>
    </row>
    <row r="23" spans="5:19" s="104" customFormat="1" ht="14.4" x14ac:dyDescent="0.3">
      <c r="E23" s="872" t="s">
        <v>779</v>
      </c>
      <c r="G23" s="873" t="s">
        <v>58</v>
      </c>
      <c r="H23" s="915" t="s">
        <v>779</v>
      </c>
      <c r="I23" s="892">
        <f xml:space="preserve"> INDEX( SplitScreenStrip!$G$68:$Y$71, MATCH( $E23, SplitScreenStrip!$E$68:$E$71, 0 ), MATCH( "+"&amp;I$17, SplitScreenStrip!$G$67:$Y$67, 0 ) )</f>
        <v>0</v>
      </c>
      <c r="J23" s="893">
        <f xml:space="preserve"> INDEX( SplitScreenStrip!$G$68:$Y$71, MATCH( $E23, SplitScreenStrip!$E$68:$E$71, 0 ), MATCH( "+"&amp;J$17, SplitScreenStrip!$G$67:$Y$67, 0 ) )</f>
        <v>240</v>
      </c>
      <c r="K23" s="893">
        <f xml:space="preserve"> INDEX( SplitScreenStrip!$G$68:$Y$71, MATCH( $E23, SplitScreenStrip!$E$68:$E$71, 0 ), MATCH( "+"&amp;K$17, SplitScreenStrip!$G$67:$Y$67, 0 ) )</f>
        <v>192</v>
      </c>
      <c r="L23" s="893">
        <f xml:space="preserve"> INDEX( SplitScreenStrip!$G$68:$Y$71, MATCH( $E23, SplitScreenStrip!$E$68:$E$71, 0 ), MATCH( "+"&amp;L$17, SplitScreenStrip!$G$67:$Y$67, 0 ) )</f>
        <v>144</v>
      </c>
      <c r="M23" s="893">
        <f xml:space="preserve"> INDEX( SplitScreenStrip!$G$68:$Y$71, MATCH( $E23, SplitScreenStrip!$E$68:$E$71, 0 ), MATCH( "+"&amp;M$17, SplitScreenStrip!$G$67:$Y$67, 0 ) )</f>
        <v>96</v>
      </c>
      <c r="N23" s="894">
        <f xml:space="preserve"> INDEX( SplitScreenStrip!$G$68:$Y$71, MATCH( $E23, SplitScreenStrip!$E$68:$E$71, 0 ), MATCH( "+"&amp;N$17, SplitScreenStrip!$G$67:$Y$67, 0 ) )</f>
        <v>48</v>
      </c>
      <c r="P23" s="901">
        <f xml:space="preserve"> SUM( I23:N23 )</f>
        <v>720</v>
      </c>
    </row>
    <row r="24" spans="5:19" s="104" customFormat="1" ht="15" thickBot="1" x14ac:dyDescent="0.35">
      <c r="E24" s="872" t="s">
        <v>780</v>
      </c>
      <c r="G24" s="931" t="s">
        <v>59</v>
      </c>
      <c r="H24" s="916" t="s">
        <v>781</v>
      </c>
      <c r="I24" s="895">
        <f xml:space="preserve"> INDEX( SplitScreenStrip!$G$68:$Y$71, MATCH( $E24, SplitScreenStrip!$E$68:$E$71, 0 ), MATCH( "+"&amp;I$17, SplitScreenStrip!$G$67:$Y$67, 0 ) )</f>
        <v>0</v>
      </c>
      <c r="J24" s="896">
        <f xml:space="preserve"> INDEX( SplitScreenStrip!$G$68:$Y$71, MATCH( $E24, SplitScreenStrip!$E$68:$E$71, 0 ), MATCH( "+"&amp;J$17, SplitScreenStrip!$G$67:$Y$67, 0 ) )</f>
        <v>1166.375</v>
      </c>
      <c r="K24" s="896">
        <f xml:space="preserve"> INDEX( SplitScreenStrip!$G$68:$Y$71, MATCH( $E24, SplitScreenStrip!$E$68:$E$71, 0 ), MATCH( "+"&amp;K$17, SplitScreenStrip!$G$67:$Y$67, 0 ) )</f>
        <v>2096.6201746575343</v>
      </c>
      <c r="L24" s="896">
        <f xml:space="preserve"> INDEX( SplitScreenStrip!$G$68:$Y$71, MATCH( $E24, SplitScreenStrip!$E$68:$E$71, 0 ), MATCH( "+"&amp;L$17, SplitScreenStrip!$G$67:$Y$67, 0 ) )</f>
        <v>3106.2419495684931</v>
      </c>
      <c r="M24" s="896">
        <f xml:space="preserve"> INDEX( SplitScreenStrip!$G$68:$Y$71, MATCH( $E24, SplitScreenStrip!$E$68:$E$71, 0 ), MATCH( "+"&amp;M$17, SplitScreenStrip!$G$67:$Y$67, 0 ) )</f>
        <v>4221.8653385747812</v>
      </c>
      <c r="N24" s="897">
        <f xml:space="preserve"> INDEX( SplitScreenStrip!$G$68:$Y$71, MATCH( $E24, SplitScreenStrip!$E$68:$E$71, 0 ), MATCH( "+"&amp;N$17, SplitScreenStrip!$G$67:$Y$67, 0 ) )</f>
        <v>5454.3677589655126</v>
      </c>
      <c r="P24" s="902">
        <f xml:space="preserve"> SUM( I24:N24 )</f>
        <v>16045.470221766322</v>
      </c>
    </row>
    <row r="25" spans="5:19" s="104" customFormat="1" ht="15" thickBot="1" x14ac:dyDescent="0.35">
      <c r="G25" s="930" t="s">
        <v>523</v>
      </c>
      <c r="H25" s="914" t="s">
        <v>782</v>
      </c>
      <c r="I25" s="911">
        <f t="shared" ref="I25:N25" si="3" xml:space="preserve"> SUM( I23:I24 )</f>
        <v>0</v>
      </c>
      <c r="J25" s="912">
        <f t="shared" si="3"/>
        <v>1406.375</v>
      </c>
      <c r="K25" s="912">
        <f t="shared" si="3"/>
        <v>2288.6201746575343</v>
      </c>
      <c r="L25" s="912">
        <f t="shared" si="3"/>
        <v>3250.2419495684931</v>
      </c>
      <c r="M25" s="912">
        <f t="shared" si="3"/>
        <v>4317.8653385747812</v>
      </c>
      <c r="N25" s="913">
        <f t="shared" si="3"/>
        <v>5502.3677589655126</v>
      </c>
      <c r="P25" s="909">
        <f xml:space="preserve"> SUM( I25:N25 )</f>
        <v>16765.470221766322</v>
      </c>
      <c r="Q25" s="876"/>
      <c r="R25" s="752" t="s">
        <v>652</v>
      </c>
      <c r="S25" s="750" t="str">
        <f xml:space="preserve"> IF( ABS(P25-P21) &lt; 10^-8, "ok", "ERR" )</f>
        <v>ok</v>
      </c>
    </row>
    <row r="26" spans="5:19" s="104" customFormat="1" ht="13.8" thickBot="1" x14ac:dyDescent="0.35"/>
    <row r="27" spans="5:19" s="104" customFormat="1" ht="16.2" thickBot="1" x14ac:dyDescent="0.35">
      <c r="I27" s="917" t="s">
        <v>783</v>
      </c>
      <c r="J27" s="918" t="s">
        <v>784</v>
      </c>
      <c r="K27" s="918" t="s">
        <v>785</v>
      </c>
      <c r="L27" s="918" t="s">
        <v>786</v>
      </c>
      <c r="M27" s="918" t="s">
        <v>787</v>
      </c>
      <c r="N27" s="919" t="s">
        <v>788</v>
      </c>
      <c r="P27" s="920" t="s">
        <v>789</v>
      </c>
    </row>
    <row r="28" spans="5:19" s="871" customFormat="1" ht="4.8" thickBot="1" x14ac:dyDescent="0.35">
      <c r="I28" s="883"/>
      <c r="J28" s="883"/>
      <c r="K28" s="883"/>
      <c r="L28" s="883"/>
      <c r="M28" s="883"/>
      <c r="N28" s="883"/>
      <c r="P28" s="883"/>
    </row>
    <row r="29" spans="5:19" s="104" customFormat="1" ht="14.4" x14ac:dyDescent="0.3">
      <c r="F29" s="872" t="s">
        <v>790</v>
      </c>
      <c r="G29" s="873" t="s">
        <v>615</v>
      </c>
      <c r="H29" s="927" t="s">
        <v>791</v>
      </c>
      <c r="I29" s="986">
        <f xml:space="preserve"> (-1) * INDEX( SplitScreenStrip!$G$68:$Y$71, MATCH( $F29, SplitScreenStrip!$F$68:$F$71, 0 ), MATCH( "–"&amp;I$27, SplitScreenStrip!$G$67:$Y$67, 0 ) )</f>
        <v>-23750</v>
      </c>
      <c r="J29" s="987">
        <f xml:space="preserve"> (-1) * INDEX( SplitScreenStrip!$G$68:$Y$71, MATCH( $F29, SplitScreenStrip!$F$68:$F$71, 0 ), MATCH( "–"&amp;J$27, SplitScreenStrip!$G$67:$Y$67, 0 ) )</f>
        <v>6203.8921232876673</v>
      </c>
      <c r="K29" s="987">
        <f xml:space="preserve"> (-1) * INDEX( SplitScreenStrip!$G$68:$Y$71, MATCH( $F29, SplitScreenStrip!$F$68:$F$71, 0 ), MATCH( "–"&amp;K$27, SplitScreenStrip!$G$67:$Y$67, 0 ) )</f>
        <v>5996.8252089041116</v>
      </c>
      <c r="L29" s="987">
        <f xml:space="preserve"> (-1) * INDEX( SplitScreenStrip!$G$68:$Y$71, MATCH( $F29, SplitScreenStrip!$F$68:$F$71, 0 ), MATCH( "–"&amp;L$27, SplitScreenStrip!$G$67:$Y$67, 0 ) )</f>
        <v>6853.6678337465801</v>
      </c>
      <c r="M29" s="987">
        <f xml:space="preserve"> (-1) * INDEX( SplitScreenStrip!$G$68:$Y$71, MATCH( $F29, SplitScreenStrip!$F$68:$F$71, 0 ), MATCH( "–"&amp;M$27, SplitScreenStrip!$G$67:$Y$67, 0 ) )</f>
        <v>7793.8466063642281</v>
      </c>
      <c r="N29" s="988">
        <f xml:space="preserve"> (-1) * INDEX( SplitScreenStrip!$G$68:$Y$71, MATCH( $F29, SplitScreenStrip!$F$68:$F$71, 0 ), MATCH( "–"&amp;N$27, SplitScreenStrip!$G$67:$Y$67, 0 ) )</f>
        <v>13286.638132654705</v>
      </c>
      <c r="P29" s="901">
        <f xml:space="preserve"> SUM( I29:N29 )</f>
        <v>16384.869904957293</v>
      </c>
      <c r="R29" s="879"/>
    </row>
    <row r="30" spans="5:19" s="104" customFormat="1" ht="15" thickBot="1" x14ac:dyDescent="0.35">
      <c r="F30" s="872" t="s">
        <v>792</v>
      </c>
      <c r="G30" s="931" t="s">
        <v>616</v>
      </c>
      <c r="H30" s="928" t="s">
        <v>793</v>
      </c>
      <c r="I30" s="895">
        <f xml:space="preserve"> (-1) * INDEX( SplitScreenStrip!$G$68:$Y$71, MATCH( $F30, SplitScreenStrip!$F$68:$F$71, 0 ), MATCH( "–"&amp;I$27, SplitScreenStrip!$G$67:$Y$67, 0 ) )</f>
        <v>3750</v>
      </c>
      <c r="J30" s="896">
        <f xml:space="preserve"> (-1) * INDEX( SplitScreenStrip!$G$68:$Y$71, MATCH( $F30, SplitScreenStrip!$F$68:$F$71, 0 ), MATCH( "–"&amp;J$27, SplitScreenStrip!$G$67:$Y$67, 0 ) )</f>
        <v>-3330.6171232876673</v>
      </c>
      <c r="K30" s="896">
        <f xml:space="preserve"> (-1) * INDEX( SplitScreenStrip!$G$68:$Y$71, MATCH( $F30, SplitScreenStrip!$F$68:$F$71, 0 ), MATCH( "–"&amp;K$27, SplitScreenStrip!$G$67:$Y$67, 0 ) )</f>
        <v>-2985.5011739726046</v>
      </c>
      <c r="L30" s="896">
        <f xml:space="preserve"> (-1) * INDEX( SplitScreenStrip!$G$68:$Y$71, MATCH( $F30, SplitScreenStrip!$F$68:$F$71, 0 ), MATCH( "–"&amp;L$27, SplitScreenStrip!$G$67:$Y$67, 0 ) )</f>
        <v>-3688.4194438328814</v>
      </c>
      <c r="M30" s="896">
        <f xml:space="preserve"> (-1) * INDEX( SplitScreenStrip!$G$68:$Y$71, MATCH( $F30, SplitScreenStrip!$F$68:$F$71, 0 ), MATCH( "–"&amp;M$27, SplitScreenStrip!$G$67:$Y$67, 0 ) )</f>
        <v>-4453.4735386492721</v>
      </c>
      <c r="N30" s="897">
        <f xml:space="preserve"> (-1) * INDEX( SplitScreenStrip!$G$68:$Y$71, MATCH( $F30, SplitScreenStrip!$F$68:$F$71, 0 ), MATCH( "–"&amp;N$27, SplitScreenStrip!$G$67:$Y$67, 0 ) )</f>
        <v>11088.611596551451</v>
      </c>
      <c r="P30" s="902">
        <f xml:space="preserve"> SUM( I30:N30 )</f>
        <v>380.60031680902466</v>
      </c>
    </row>
    <row r="31" spans="5:19" s="104" customFormat="1" ht="15" thickBot="1" x14ac:dyDescent="0.35">
      <c r="G31" s="930" t="s">
        <v>524</v>
      </c>
      <c r="H31" s="926" t="s">
        <v>794</v>
      </c>
      <c r="I31" s="923">
        <f t="shared" ref="I31:N31" si="4" xml:space="preserve"> SUM( I29:I30 )</f>
        <v>-20000</v>
      </c>
      <c r="J31" s="924">
        <f t="shared" si="4"/>
        <v>2873.2750000000001</v>
      </c>
      <c r="K31" s="924">
        <f t="shared" si="4"/>
        <v>3011.324034931507</v>
      </c>
      <c r="L31" s="924">
        <f t="shared" si="4"/>
        <v>3165.2483899136987</v>
      </c>
      <c r="M31" s="924">
        <f t="shared" si="4"/>
        <v>3340.3730677149561</v>
      </c>
      <c r="N31" s="925">
        <f t="shared" si="4"/>
        <v>24375.249729206156</v>
      </c>
      <c r="P31" s="921">
        <f xml:space="preserve"> SUM( I31:N31 )</f>
        <v>16765.470221766322</v>
      </c>
    </row>
    <row r="32" spans="5:19" s="871" customFormat="1" ht="4.8" thickBot="1" x14ac:dyDescent="0.35">
      <c r="H32" s="884"/>
      <c r="I32" s="883"/>
      <c r="J32" s="883"/>
      <c r="K32" s="883"/>
      <c r="L32" s="883"/>
      <c r="M32" s="883"/>
      <c r="N32" s="883"/>
      <c r="P32" s="883"/>
    </row>
    <row r="33" spans="3:24" s="104" customFormat="1" ht="14.4" x14ac:dyDescent="0.3">
      <c r="F33" s="872" t="s">
        <v>795</v>
      </c>
      <c r="G33" s="873" t="s">
        <v>617</v>
      </c>
      <c r="H33" s="927" t="s">
        <v>796</v>
      </c>
      <c r="I33" s="892">
        <f xml:space="preserve"> (-1) * INDEX( SplitScreenStrip!$G$68:$Y$71, MATCH( $F33, SplitScreenStrip!$F$68:$F$71, 0 ), MATCH( "–"&amp;I$27, SplitScreenStrip!$G$67:$Y$67, 0 ) )</f>
        <v>-12000</v>
      </c>
      <c r="J33" s="893">
        <f xml:space="preserve"> (-1) * INDEX( SplitScreenStrip!$G$68:$Y$71, MATCH( $F33, SplitScreenStrip!$F$68:$F$71, 0 ), MATCH( "–"&amp;J$27, SplitScreenStrip!$G$67:$Y$67, 0 ) )</f>
        <v>2640</v>
      </c>
      <c r="K33" s="893">
        <f xml:space="preserve"> (-1) * INDEX( SplitScreenStrip!$G$68:$Y$71, MATCH( $F33, SplitScreenStrip!$F$68:$F$71, 0 ), MATCH( "–"&amp;K$27, SplitScreenStrip!$G$67:$Y$67, 0 ) )</f>
        <v>2592</v>
      </c>
      <c r="L33" s="893">
        <f xml:space="preserve"> (-1) * INDEX( SplitScreenStrip!$G$68:$Y$71, MATCH( $F33, SplitScreenStrip!$F$68:$F$71, 0 ), MATCH( "–"&amp;L$27, SplitScreenStrip!$G$67:$Y$67, 0 ) )</f>
        <v>2544</v>
      </c>
      <c r="M33" s="893">
        <f xml:space="preserve"> (-1) * INDEX( SplitScreenStrip!$G$68:$Y$71, MATCH( $F33, SplitScreenStrip!$F$68:$F$71, 0 ), MATCH( "–"&amp;M$27, SplitScreenStrip!$G$67:$Y$67, 0 ) )</f>
        <v>2496</v>
      </c>
      <c r="N33" s="894">
        <f xml:space="preserve"> (-1) * INDEX( SplitScreenStrip!$G$68:$Y$71, MATCH( $F33, SplitScreenStrip!$F$68:$F$71, 0 ), MATCH( "–"&amp;N$27, SplitScreenStrip!$G$67:$Y$67, 0 ) )</f>
        <v>2448</v>
      </c>
      <c r="P33" s="901">
        <f xml:space="preserve"> SUM( I33:N33 )</f>
        <v>720</v>
      </c>
    </row>
    <row r="34" spans="3:24" s="104" customFormat="1" ht="15" thickBot="1" x14ac:dyDescent="0.35">
      <c r="F34" s="872" t="s">
        <v>797</v>
      </c>
      <c r="G34" s="931" t="s">
        <v>135</v>
      </c>
      <c r="H34" s="928" t="s">
        <v>798</v>
      </c>
      <c r="I34" s="990">
        <f xml:space="preserve"> (-1) * INDEX( SplitScreenStrip!$G$68:$Y$71, MATCH( $F34, SplitScreenStrip!$F$68:$F$71, 0 ), MATCH( "–"&amp;I$27, SplitScreenStrip!$G$67:$Y$67, 0 ) )</f>
        <v>-8000</v>
      </c>
      <c r="J34" s="991">
        <f xml:space="preserve"> (-1) * INDEX( SplitScreenStrip!$G$68:$Y$71, MATCH( $F34, SplitScreenStrip!$F$68:$F$71, 0 ), MATCH( "–"&amp;J$27, SplitScreenStrip!$G$67:$Y$67, 0 ) )</f>
        <v>233.27500000000001</v>
      </c>
      <c r="K34" s="991">
        <f xml:space="preserve"> (-1) * INDEX( SplitScreenStrip!$G$68:$Y$71, MATCH( $F34, SplitScreenStrip!$F$68:$F$71, 0 ), MATCH( "–"&amp;K$27, SplitScreenStrip!$G$67:$Y$67, 0 ) )</f>
        <v>419.3240349315069</v>
      </c>
      <c r="L34" s="991">
        <f xml:space="preserve"> (-1) * INDEX( SplitScreenStrip!$G$68:$Y$71, MATCH( $F34, SplitScreenStrip!$F$68:$F$71, 0 ), MATCH( "–"&amp;L$27, SplitScreenStrip!$G$67:$Y$67, 0 ) )</f>
        <v>621.2483899136987</v>
      </c>
      <c r="M34" s="991">
        <f xml:space="preserve"> (-1) * INDEX( SplitScreenStrip!$G$68:$Y$71, MATCH( $F34, SplitScreenStrip!$F$68:$F$71, 0 ), MATCH( "–"&amp;M$27, SplitScreenStrip!$G$67:$Y$67, 0 ) )</f>
        <v>844.37306771495628</v>
      </c>
      <c r="N34" s="992">
        <f xml:space="preserve"> (-1) * INDEX( SplitScreenStrip!$G$68:$Y$71, MATCH( $F34, SplitScreenStrip!$F$68:$F$71, 0 ), MATCH( "–"&amp;N$27, SplitScreenStrip!$G$67:$Y$67, 0 ) )</f>
        <v>21927.249729206156</v>
      </c>
      <c r="P34" s="902">
        <f xml:space="preserve"> SUM( I34:N34 )</f>
        <v>16045.470221766318</v>
      </c>
    </row>
    <row r="35" spans="3:24" s="104" customFormat="1" ht="15" thickBot="1" x14ac:dyDescent="0.35">
      <c r="G35" s="930" t="s">
        <v>525</v>
      </c>
      <c r="H35" s="922" t="s">
        <v>799</v>
      </c>
      <c r="I35" s="923">
        <f t="shared" ref="I35:N35" si="5" xml:space="preserve"> SUM( I33:I34 )</f>
        <v>-20000</v>
      </c>
      <c r="J35" s="924">
        <f t="shared" si="5"/>
        <v>2873.2750000000001</v>
      </c>
      <c r="K35" s="924">
        <f t="shared" si="5"/>
        <v>3011.324034931507</v>
      </c>
      <c r="L35" s="924">
        <f t="shared" si="5"/>
        <v>3165.2483899136987</v>
      </c>
      <c r="M35" s="924">
        <f t="shared" si="5"/>
        <v>3340.3730677149561</v>
      </c>
      <c r="N35" s="925">
        <f t="shared" si="5"/>
        <v>24375.249729206156</v>
      </c>
      <c r="P35" s="921">
        <f xml:space="preserve"> SUM( I35:N35 )</f>
        <v>16765.470221766322</v>
      </c>
      <c r="Q35" s="876"/>
      <c r="R35" s="752" t="s">
        <v>683</v>
      </c>
      <c r="S35" s="750" t="str">
        <f xml:space="preserve"> IF( ABS(P35-P31) &lt; 10^-8, "ok", "ERR" )</f>
        <v>ok</v>
      </c>
    </row>
    <row r="38" spans="3:24" x14ac:dyDescent="0.3">
      <c r="C38" s="740"/>
      <c r="D38" s="740"/>
      <c r="E38" s="740"/>
      <c r="F38" s="740"/>
      <c r="G38" s="753" t="s">
        <v>625</v>
      </c>
      <c r="H38" s="742"/>
      <c r="I38" s="744"/>
      <c r="J38" s="743">
        <f t="shared" ref="J38:N39" si="6" xml:space="preserve"> J19 / I9</f>
        <v>6.3163157894736838E-2</v>
      </c>
      <c r="K38" s="743">
        <f t="shared" si="6"/>
        <v>0.12083483970151938</v>
      </c>
      <c r="L38" s="743">
        <f t="shared" si="6"/>
        <v>0.20772479502370353</v>
      </c>
      <c r="M38" s="743">
        <f t="shared" si="6"/>
        <v>0.35620827304156183</v>
      </c>
      <c r="N38" s="743">
        <f t="shared" si="6"/>
        <v>0.64954598232474947</v>
      </c>
      <c r="O38" s="740"/>
      <c r="P38" s="740"/>
      <c r="Q38" s="740"/>
      <c r="R38" s="740"/>
      <c r="S38" s="740"/>
      <c r="T38" s="740"/>
      <c r="U38" s="740"/>
      <c r="V38" s="740"/>
      <c r="W38" s="740"/>
      <c r="X38" s="740"/>
    </row>
    <row r="39" spans="3:24" x14ac:dyDescent="0.3">
      <c r="C39" s="740"/>
      <c r="D39" s="740"/>
      <c r="E39" s="740"/>
      <c r="F39" s="740"/>
      <c r="G39" s="753" t="s">
        <v>681</v>
      </c>
      <c r="H39" s="742"/>
      <c r="I39" s="744"/>
      <c r="J39" s="743">
        <f t="shared" si="6"/>
        <v>2.5000000000000001E-2</v>
      </c>
      <c r="K39" s="743">
        <f t="shared" si="6"/>
        <v>2.5000000000000001E-2</v>
      </c>
      <c r="L39" s="743">
        <f t="shared" si="6"/>
        <v>2.5000000000000001E-2</v>
      </c>
      <c r="M39" s="743">
        <f t="shared" si="6"/>
        <v>2.5000000000000001E-2</v>
      </c>
      <c r="N39" s="743">
        <f t="shared" si="6"/>
        <v>2.4999999999999998E-2</v>
      </c>
      <c r="O39" s="740"/>
      <c r="P39" s="740"/>
      <c r="Q39" s="740"/>
      <c r="R39" s="740"/>
      <c r="S39" s="740"/>
      <c r="T39" s="740"/>
      <c r="U39" s="740"/>
      <c r="V39" s="740"/>
      <c r="W39" s="740"/>
      <c r="X39" s="740"/>
    </row>
    <row r="40" spans="3:24" x14ac:dyDescent="0.3">
      <c r="C40" s="740"/>
      <c r="D40" s="740"/>
      <c r="E40" s="740"/>
      <c r="F40" s="740"/>
      <c r="G40" s="753" t="s">
        <v>626</v>
      </c>
      <c r="H40" s="742"/>
      <c r="I40" s="744"/>
      <c r="J40" s="743">
        <f t="shared" ref="J40:N41" si="7" xml:space="preserve"> J23 / I13</f>
        <v>0.02</v>
      </c>
      <c r="K40" s="743">
        <f t="shared" si="7"/>
        <v>0.02</v>
      </c>
      <c r="L40" s="743">
        <f t="shared" si="7"/>
        <v>0.02</v>
      </c>
      <c r="M40" s="743">
        <f t="shared" si="7"/>
        <v>0.02</v>
      </c>
      <c r="N40" s="743">
        <f t="shared" si="7"/>
        <v>0.02</v>
      </c>
      <c r="O40" s="740"/>
      <c r="P40" s="740"/>
      <c r="Q40" s="740"/>
      <c r="R40" s="740"/>
      <c r="S40" s="740"/>
      <c r="T40" s="740"/>
      <c r="U40" s="740"/>
      <c r="V40" s="740"/>
      <c r="W40" s="740"/>
      <c r="X40" s="740"/>
    </row>
    <row r="41" spans="3:24" x14ac:dyDescent="0.3">
      <c r="C41" s="740"/>
      <c r="D41" s="740"/>
      <c r="E41" s="740"/>
      <c r="F41" s="740"/>
      <c r="G41" s="753" t="s">
        <v>627</v>
      </c>
      <c r="H41" s="742"/>
      <c r="I41" s="744"/>
      <c r="J41" s="743">
        <f t="shared" si="7"/>
        <v>0.14579687499999999</v>
      </c>
      <c r="K41" s="743">
        <f t="shared" si="7"/>
        <v>0.23470241849498319</v>
      </c>
      <c r="L41" s="743">
        <f t="shared" si="7"/>
        <v>0.29275456907198</v>
      </c>
      <c r="M41" s="743">
        <f t="shared" si="7"/>
        <v>0.32239325713036249</v>
      </c>
      <c r="N41" s="743">
        <f t="shared" si="7"/>
        <v>0.33111193104031161</v>
      </c>
      <c r="O41" s="740"/>
      <c r="P41" s="740"/>
      <c r="Q41" s="740"/>
      <c r="R41" s="740"/>
      <c r="S41" s="740"/>
      <c r="T41" s="740"/>
      <c r="U41" s="740"/>
      <c r="V41" s="740"/>
      <c r="W41" s="740"/>
      <c r="X41" s="740"/>
    </row>
    <row r="42" spans="3:24" x14ac:dyDescent="0.3">
      <c r="C42" s="740"/>
      <c r="D42" s="740"/>
      <c r="E42" s="740"/>
      <c r="F42" s="740"/>
      <c r="G42" s="740"/>
      <c r="H42" s="740"/>
      <c r="I42" s="740"/>
      <c r="J42" s="740"/>
      <c r="K42" s="740"/>
      <c r="L42" s="740"/>
      <c r="M42" s="740"/>
      <c r="N42" s="740"/>
      <c r="O42" s="740"/>
      <c r="P42" s="740"/>
      <c r="Q42" s="740"/>
      <c r="R42" s="740"/>
      <c r="S42" s="740"/>
      <c r="T42" s="740"/>
      <c r="U42" s="740"/>
      <c r="V42" s="740"/>
      <c r="W42" s="740"/>
      <c r="X42" s="740"/>
    </row>
    <row r="43" spans="3:24" ht="17.25" customHeight="1" x14ac:dyDescent="0.3">
      <c r="C43" s="740"/>
      <c r="D43" s="740"/>
      <c r="E43" s="740"/>
      <c r="F43" s="740"/>
      <c r="G43" s="829" t="s">
        <v>699</v>
      </c>
      <c r="H43" s="742"/>
      <c r="I43" s="744"/>
      <c r="J43" s="743">
        <f xml:space="preserve"> ( J11 + J31 - I11 ) / I11</f>
        <v>7.0318749999999819E-2</v>
      </c>
      <c r="K43" s="743">
        <f xml:space="preserve"> ( K11 + K31 - J11 ) / J11</f>
        <v>0.12348825477969341</v>
      </c>
      <c r="L43" s="743">
        <f xml:space="preserve"> ( L11 + L31 - K11 ) / K11</f>
        <v>0.18249127779470586</v>
      </c>
      <c r="M43" s="743">
        <f xml:space="preserve"> ( M11 + M31 - L11 ) / L11</f>
        <v>0.24128367200207881</v>
      </c>
      <c r="N43" s="743">
        <f xml:space="preserve"> ( N11 + N31 - M11 ) / M11</f>
        <v>0.29154888838078968</v>
      </c>
      <c r="O43" s="740"/>
      <c r="P43" s="740"/>
      <c r="Q43" s="740"/>
      <c r="R43" s="740"/>
      <c r="S43" s="740"/>
      <c r="T43" s="740"/>
      <c r="U43" s="740"/>
      <c r="V43" s="740"/>
      <c r="W43" s="740"/>
      <c r="X43" s="740"/>
    </row>
    <row r="44" spans="3:24" ht="17.25" customHeight="1" x14ac:dyDescent="0.3">
      <c r="C44" s="740"/>
      <c r="D44" s="740"/>
      <c r="E44" s="740"/>
      <c r="F44" s="740"/>
      <c r="G44" s="829" t="s">
        <v>700</v>
      </c>
      <c r="H44" s="742"/>
      <c r="I44" s="744"/>
      <c r="J44" s="743">
        <f xml:space="preserve"> ( J38 * I9 + J39 * I10 ) / ( I9 + I10 )</f>
        <v>7.0318749999999999E-2</v>
      </c>
      <c r="K44" s="743">
        <f xml:space="preserve"> ( K38 * J9 + K39 * J10 ) / ( J9 + J10 )</f>
        <v>0.12348825477969336</v>
      </c>
      <c r="L44" s="743">
        <f xml:space="preserve"> ( L38 * K9 + L39 * K10 ) / ( K9 + K10 )</f>
        <v>0.18249127779470553</v>
      </c>
      <c r="M44" s="743">
        <f xml:space="preserve"> ( M38 * L9 + M39 * L10 ) / ( L9 + L10 )</f>
        <v>0.24128367200207876</v>
      </c>
      <c r="N44" s="743">
        <f xml:space="preserve"> ( N38 * M9 + N39 * M10 ) / ( M9 + M10 )</f>
        <v>0.29154888838078996</v>
      </c>
      <c r="O44" s="740"/>
      <c r="P44" s="740"/>
      <c r="Q44" s="740"/>
      <c r="R44" s="740"/>
      <c r="S44" s="740"/>
      <c r="T44" s="740"/>
      <c r="U44" s="740"/>
      <c r="V44" s="740"/>
      <c r="W44" s="740"/>
      <c r="X44" s="740"/>
    </row>
    <row r="45" spans="3:24" ht="17.25" customHeight="1" thickBot="1" x14ac:dyDescent="0.35">
      <c r="C45" s="740"/>
      <c r="D45" s="740"/>
      <c r="E45" s="740"/>
      <c r="F45" s="740"/>
      <c r="G45" s="836" t="s">
        <v>701</v>
      </c>
      <c r="H45" s="745"/>
      <c r="I45" s="746"/>
      <c r="J45" s="747">
        <f xml:space="preserve"> ( J40 * I13 + J41 * I14 ) / ( I13 + I14 )</f>
        <v>7.0318749999999999E-2</v>
      </c>
      <c r="K45" s="747">
        <f xml:space="preserve"> ( K40 * J13 + K41 * J14 ) / ( J13 + J14 )</f>
        <v>0.12348825477969333</v>
      </c>
      <c r="L45" s="747">
        <f xml:space="preserve"> ( L40 * K13 + L41 * K14 ) / ( K13 + K14 )</f>
        <v>0.1824912777947055</v>
      </c>
      <c r="M45" s="747">
        <f xml:space="preserve"> ( M40 * L13 + M41 * L14 ) / ( L13 + L14 )</f>
        <v>0.24128367200207876</v>
      </c>
      <c r="N45" s="747">
        <f xml:space="preserve"> ( N40 * M13 + N41 * M14 ) / ( M13 + M14 )</f>
        <v>0.29154888838078996</v>
      </c>
      <c r="O45" s="740"/>
      <c r="P45" s="740"/>
      <c r="Q45" s="740"/>
      <c r="R45" s="740"/>
      <c r="S45" s="740"/>
      <c r="T45" s="740"/>
      <c r="U45" s="740"/>
      <c r="V45" s="740"/>
      <c r="W45" s="740"/>
      <c r="X45" s="740"/>
    </row>
    <row r="46" spans="3:24" ht="15" thickBot="1" x14ac:dyDescent="0.35">
      <c r="C46" s="740"/>
      <c r="D46" s="740"/>
      <c r="E46" s="740"/>
      <c r="F46" s="740"/>
      <c r="G46" s="752" t="s">
        <v>680</v>
      </c>
      <c r="H46" s="748"/>
      <c r="I46" s="749"/>
      <c r="J46" s="750" t="str">
        <f xml:space="preserve"> IF( AND( ABS(J44-J43) &lt; 10^-8, ABS(J45-J44) &lt; 10^-8 ), "ok", "ERR" )</f>
        <v>ok</v>
      </c>
      <c r="K46" s="750" t="str">
        <f xml:space="preserve"> IF( AND( ABS(K44-K43) &lt; 10^-8, ABS(K45-K44) &lt; 10^-8 ), "ok", "ERR" )</f>
        <v>ok</v>
      </c>
      <c r="L46" s="750" t="str">
        <f xml:space="preserve"> IF( AND( ABS(L44-L43) &lt; 10^-8, ABS(L45-L44) &lt; 10^-8 ), "ok", "ERR" )</f>
        <v>ok</v>
      </c>
      <c r="M46" s="750" t="str">
        <f xml:space="preserve"> IF( AND( ABS(M44-M43) &lt; 10^-8, ABS(M45-M44) &lt; 10^-8 ), "ok", "ERR" )</f>
        <v>ok</v>
      </c>
      <c r="N46" s="750" t="str">
        <f xml:space="preserve"> IF( AND( ABS(N44-N43) &lt; 10^-8, ABS(N45-N44) &lt; 10^-8 ), "ok", "ERR" )</f>
        <v>ok</v>
      </c>
      <c r="O46" s="740"/>
      <c r="P46" s="740"/>
      <c r="Q46" s="740"/>
      <c r="R46" s="740"/>
      <c r="S46" s="740"/>
      <c r="T46" s="740"/>
      <c r="U46" s="740"/>
      <c r="V46" s="740"/>
      <c r="W46" s="740"/>
      <c r="X46" s="740"/>
    </row>
    <row r="47" spans="3:24" s="38" customFormat="1" ht="6.6" x14ac:dyDescent="0.3"/>
    <row r="48" spans="3:24" ht="17.25" customHeight="1" x14ac:dyDescent="0.3">
      <c r="C48" s="740"/>
      <c r="D48" s="740"/>
      <c r="E48" s="740"/>
      <c r="F48" s="740"/>
      <c r="G48" s="753" t="s">
        <v>702</v>
      </c>
      <c r="H48" s="742"/>
      <c r="I48" s="751">
        <f t="shared" ref="I48:N48" si="8" xml:space="preserve"> H48 + I19 - I29</f>
        <v>23750</v>
      </c>
      <c r="J48" s="751">
        <f t="shared" si="8"/>
        <v>19046.232876712333</v>
      </c>
      <c r="K48" s="751">
        <f t="shared" si="8"/>
        <v>15350.856164383564</v>
      </c>
      <c r="L48" s="751">
        <f t="shared" si="8"/>
        <v>11685.941780821913</v>
      </c>
      <c r="M48" s="751">
        <f t="shared" si="8"/>
        <v>8054.7243150684935</v>
      </c>
      <c r="N48" s="751">
        <f t="shared" si="8"/>
        <v>0</v>
      </c>
      <c r="O48" s="740"/>
      <c r="P48" s="740"/>
      <c r="Q48" s="740"/>
      <c r="R48" s="740"/>
      <c r="S48" s="740"/>
      <c r="T48" s="740"/>
      <c r="U48" s="740"/>
      <c r="V48" s="740"/>
      <c r="W48" s="740"/>
      <c r="X48" s="740"/>
    </row>
    <row r="49" spans="3:24" ht="17.25" customHeight="1" thickBot="1" x14ac:dyDescent="0.35">
      <c r="C49" s="740"/>
      <c r="D49" s="740"/>
      <c r="E49" s="740"/>
      <c r="F49" s="740"/>
      <c r="G49" s="753" t="s">
        <v>703</v>
      </c>
      <c r="H49" s="742"/>
      <c r="I49" s="751">
        <f xml:space="preserve"> ( J49 + J29 ) / ( 1 + J38 )</f>
        <v>23750</v>
      </c>
      <c r="J49" s="751">
        <f xml:space="preserve"> ( K49 + K29 ) / ( 1 + K38 )</f>
        <v>19046.232876712333</v>
      </c>
      <c r="K49" s="751">
        <f xml:space="preserve"> ( L49 + L29 ) / ( 1 + L38 )</f>
        <v>15350.856164383562</v>
      </c>
      <c r="L49" s="751">
        <f xml:space="preserve"> ( M49 + M29 ) / ( 1 + M38 )</f>
        <v>11685.941780821915</v>
      </c>
      <c r="M49" s="751">
        <f xml:space="preserve"> ( N49 + N29 ) / ( 1 + N38 )</f>
        <v>8054.7243150684953</v>
      </c>
      <c r="N49" s="751">
        <v>0</v>
      </c>
      <c r="O49" s="740"/>
      <c r="P49" s="740"/>
      <c r="Q49" s="740"/>
      <c r="R49" s="740"/>
      <c r="S49" s="740"/>
      <c r="T49" s="740"/>
      <c r="U49" s="740"/>
      <c r="V49" s="740"/>
      <c r="W49" s="740"/>
      <c r="X49" s="740"/>
    </row>
    <row r="50" spans="3:24" ht="15" thickBot="1" x14ac:dyDescent="0.35">
      <c r="C50" s="740"/>
      <c r="D50" s="740"/>
      <c r="E50" s="740"/>
      <c r="F50" s="740"/>
      <c r="G50" s="752" t="s">
        <v>677</v>
      </c>
      <c r="H50" s="748"/>
      <c r="I50" s="750" t="str">
        <f t="shared" ref="I50:N50" si="9" xml:space="preserve"> IF( ABS(I49-I48) &lt; 10^-8, "ok", "ERR" )</f>
        <v>ok</v>
      </c>
      <c r="J50" s="750" t="str">
        <f t="shared" si="9"/>
        <v>ok</v>
      </c>
      <c r="K50" s="750" t="str">
        <f t="shared" si="9"/>
        <v>ok</v>
      </c>
      <c r="L50" s="750" t="str">
        <f t="shared" si="9"/>
        <v>ok</v>
      </c>
      <c r="M50" s="750" t="str">
        <f t="shared" si="9"/>
        <v>ok</v>
      </c>
      <c r="N50" s="750" t="str">
        <f t="shared" si="9"/>
        <v>ok</v>
      </c>
      <c r="O50" s="740"/>
      <c r="P50" s="741"/>
      <c r="Q50" s="740"/>
      <c r="R50" s="740"/>
      <c r="S50" s="740"/>
      <c r="T50" s="740"/>
      <c r="U50" s="740"/>
      <c r="V50" s="740"/>
      <c r="W50" s="740"/>
      <c r="X50" s="740"/>
    </row>
    <row r="51" spans="3:24" s="38" customFormat="1" ht="6.6" x14ac:dyDescent="0.3"/>
    <row r="52" spans="3:24" ht="17.25" customHeight="1" x14ac:dyDescent="0.3">
      <c r="C52" s="740"/>
      <c r="D52" s="740"/>
      <c r="E52" s="740"/>
      <c r="F52" s="740"/>
      <c r="G52" s="753" t="s">
        <v>704</v>
      </c>
      <c r="H52" s="742"/>
      <c r="I52" s="751">
        <f t="shared" ref="I52:N52" si="10" xml:space="preserve"> H52 + I20 - I30</f>
        <v>-3750</v>
      </c>
      <c r="J52" s="751">
        <f t="shared" si="10"/>
        <v>-513.13287671233275</v>
      </c>
      <c r="K52" s="751">
        <f t="shared" si="10"/>
        <v>2459.5399753424635</v>
      </c>
      <c r="L52" s="751">
        <f t="shared" si="10"/>
        <v>6209.4479185589062</v>
      </c>
      <c r="M52" s="751">
        <f t="shared" si="10"/>
        <v>10818.157655172152</v>
      </c>
      <c r="N52" s="751">
        <f t="shared" si="10"/>
        <v>0</v>
      </c>
      <c r="O52" s="740"/>
      <c r="P52" s="740"/>
      <c r="Q52" s="740"/>
      <c r="R52" s="740"/>
      <c r="S52" s="740"/>
      <c r="T52" s="740"/>
      <c r="U52" s="740"/>
      <c r="V52" s="740"/>
      <c r="W52" s="740"/>
      <c r="X52" s="740"/>
    </row>
    <row r="53" spans="3:24" ht="17.25" customHeight="1" thickBot="1" x14ac:dyDescent="0.35">
      <c r="C53" s="740"/>
      <c r="D53" s="740"/>
      <c r="E53" s="740"/>
      <c r="F53" s="740"/>
      <c r="G53" s="753" t="s">
        <v>705</v>
      </c>
      <c r="H53" s="742"/>
      <c r="I53" s="751">
        <f xml:space="preserve"> ( J53 + J30 ) / ( 1 + J39 )</f>
        <v>-3750.0000000000023</v>
      </c>
      <c r="J53" s="751">
        <f xml:space="preserve"> ( K53 + K30 ) / ( 1 + K39 )</f>
        <v>-513.13287671233456</v>
      </c>
      <c r="K53" s="751">
        <f xml:space="preserve"> ( L53 + L30 ) / ( 1 + L39 )</f>
        <v>2459.5399753424617</v>
      </c>
      <c r="L53" s="751">
        <f xml:space="preserve"> ( M53 + M30 ) / ( 1 + M39 )</f>
        <v>6209.4479185589043</v>
      </c>
      <c r="M53" s="751">
        <f xml:space="preserve"> ( N53 + N30 ) / ( 1 + N39 )</f>
        <v>10818.157655172148</v>
      </c>
      <c r="N53" s="751">
        <v>0</v>
      </c>
      <c r="O53" s="740"/>
      <c r="P53" s="741"/>
      <c r="Q53" s="740"/>
      <c r="R53" s="740"/>
      <c r="S53" s="740"/>
      <c r="T53" s="740"/>
      <c r="U53" s="740"/>
      <c r="V53" s="740"/>
      <c r="W53" s="740"/>
      <c r="X53" s="740"/>
    </row>
    <row r="54" spans="3:24" ht="15" thickBot="1" x14ac:dyDescent="0.35">
      <c r="C54" s="740"/>
      <c r="D54" s="740"/>
      <c r="E54" s="740"/>
      <c r="F54" s="740"/>
      <c r="G54" s="752" t="s">
        <v>678</v>
      </c>
      <c r="H54" s="748"/>
      <c r="I54" s="750" t="str">
        <f t="shared" ref="I54:N54" si="11" xml:space="preserve"> IF( ABS(I53-I52) &lt; 10^-8, "ok", "ERR" )</f>
        <v>ok</v>
      </c>
      <c r="J54" s="750" t="str">
        <f t="shared" si="11"/>
        <v>ok</v>
      </c>
      <c r="K54" s="750" t="str">
        <f t="shared" si="11"/>
        <v>ok</v>
      </c>
      <c r="L54" s="750" t="str">
        <f t="shared" si="11"/>
        <v>ok</v>
      </c>
      <c r="M54" s="750" t="str">
        <f t="shared" si="11"/>
        <v>ok</v>
      </c>
      <c r="N54" s="750" t="str">
        <f t="shared" si="11"/>
        <v>ok</v>
      </c>
      <c r="O54" s="740"/>
      <c r="P54" s="741"/>
      <c r="Q54" s="740"/>
      <c r="R54" s="740"/>
      <c r="S54" s="740"/>
      <c r="T54" s="740"/>
      <c r="U54" s="740"/>
      <c r="V54" s="740"/>
      <c r="W54" s="740"/>
      <c r="X54" s="740"/>
    </row>
    <row r="55" spans="3:24" s="38" customFormat="1" ht="6.6" x14ac:dyDescent="0.3"/>
    <row r="56" spans="3:24" ht="17.25" customHeight="1" x14ac:dyDescent="0.3">
      <c r="C56" s="740"/>
      <c r="D56" s="740"/>
      <c r="E56" s="740"/>
      <c r="F56" s="740"/>
      <c r="G56" s="753" t="s">
        <v>706</v>
      </c>
      <c r="H56" s="742"/>
      <c r="I56" s="751">
        <f t="shared" ref="I56:N56" si="12" xml:space="preserve"> H56 + I23 - I33</f>
        <v>12000</v>
      </c>
      <c r="J56" s="751">
        <f t="shared" si="12"/>
        <v>9600</v>
      </c>
      <c r="K56" s="751">
        <f t="shared" si="12"/>
        <v>7200</v>
      </c>
      <c r="L56" s="751">
        <f t="shared" si="12"/>
        <v>4800</v>
      </c>
      <c r="M56" s="751">
        <f t="shared" si="12"/>
        <v>2400</v>
      </c>
      <c r="N56" s="751">
        <f t="shared" si="12"/>
        <v>0</v>
      </c>
      <c r="O56" s="740"/>
      <c r="P56" s="740"/>
      <c r="Q56" s="740"/>
      <c r="R56" s="740"/>
      <c r="S56" s="740"/>
      <c r="T56" s="740"/>
      <c r="U56" s="740"/>
      <c r="V56" s="740"/>
      <c r="W56" s="740"/>
      <c r="X56" s="740"/>
    </row>
    <row r="57" spans="3:24" ht="17.25" customHeight="1" thickBot="1" x14ac:dyDescent="0.35">
      <c r="C57" s="740"/>
      <c r="D57" s="740"/>
      <c r="E57" s="740"/>
      <c r="F57" s="740"/>
      <c r="G57" s="753" t="s">
        <v>707</v>
      </c>
      <c r="H57" s="742"/>
      <c r="I57" s="751">
        <f xml:space="preserve"> ( J57 + J33 ) / ( 1 + J40 )</f>
        <v>12000</v>
      </c>
      <c r="J57" s="751">
        <f xml:space="preserve"> ( K57 + K33 ) / ( 1 + K40 )</f>
        <v>9600</v>
      </c>
      <c r="K57" s="751">
        <f xml:space="preserve"> ( L57 + L33 ) / ( 1 + L40 )</f>
        <v>7200</v>
      </c>
      <c r="L57" s="751">
        <f xml:space="preserve"> ( M57 + M33 ) / ( 1 + M40 )</f>
        <v>4800</v>
      </c>
      <c r="M57" s="751">
        <f xml:space="preserve"> ( N57 + N33 ) / ( 1 + N40 )</f>
        <v>2400</v>
      </c>
      <c r="N57" s="751">
        <v>0</v>
      </c>
      <c r="O57" s="740"/>
      <c r="P57" s="741"/>
      <c r="Q57" s="740"/>
      <c r="R57" s="740"/>
      <c r="S57" s="740"/>
      <c r="T57" s="740"/>
      <c r="U57" s="740"/>
      <c r="V57" s="740"/>
      <c r="W57" s="740"/>
      <c r="X57" s="740"/>
    </row>
    <row r="58" spans="3:24" ht="15" thickBot="1" x14ac:dyDescent="0.35">
      <c r="C58" s="740"/>
      <c r="D58" s="740"/>
      <c r="E58" s="740"/>
      <c r="F58" s="740"/>
      <c r="G58" s="752" t="s">
        <v>679</v>
      </c>
      <c r="H58" s="748"/>
      <c r="I58" s="750" t="str">
        <f t="shared" ref="I58:N58" si="13" xml:space="preserve"> IF( ABS(I57-I56) &lt; 10^-8, "ok", "ERR" )</f>
        <v>ok</v>
      </c>
      <c r="J58" s="750" t="str">
        <f t="shared" si="13"/>
        <v>ok</v>
      </c>
      <c r="K58" s="750" t="str">
        <f t="shared" si="13"/>
        <v>ok</v>
      </c>
      <c r="L58" s="750" t="str">
        <f t="shared" si="13"/>
        <v>ok</v>
      </c>
      <c r="M58" s="750" t="str">
        <f t="shared" si="13"/>
        <v>ok</v>
      </c>
      <c r="N58" s="750" t="str">
        <f t="shared" si="13"/>
        <v>ok</v>
      </c>
      <c r="O58" s="740"/>
      <c r="P58" s="741"/>
      <c r="Q58" s="740"/>
      <c r="R58" s="740"/>
      <c r="S58" s="740"/>
      <c r="T58" s="740"/>
      <c r="U58" s="740"/>
      <c r="V58" s="740"/>
      <c r="W58" s="740"/>
      <c r="X58" s="740"/>
    </row>
    <row r="59" spans="3:24" s="38" customFormat="1" ht="6.6" x14ac:dyDescent="0.3"/>
    <row r="60" spans="3:24" ht="17.25" customHeight="1" x14ac:dyDescent="0.3">
      <c r="C60" s="740"/>
      <c r="D60" s="740"/>
      <c r="E60" s="740"/>
      <c r="F60" s="740"/>
      <c r="G60" s="753" t="s">
        <v>708</v>
      </c>
      <c r="H60" s="742"/>
      <c r="I60" s="751">
        <f t="shared" ref="I60:N60" si="14" xml:space="preserve"> H60 + I24 - I34</f>
        <v>8000</v>
      </c>
      <c r="J60" s="751">
        <f t="shared" si="14"/>
        <v>8933.1</v>
      </c>
      <c r="K60" s="751">
        <f t="shared" si="14"/>
        <v>10610.396139726026</v>
      </c>
      <c r="L60" s="751">
        <f t="shared" si="14"/>
        <v>13095.389699380821</v>
      </c>
      <c r="M60" s="751">
        <f t="shared" si="14"/>
        <v>16472.881970240644</v>
      </c>
      <c r="N60" s="751">
        <f t="shared" si="14"/>
        <v>0</v>
      </c>
      <c r="O60" s="740"/>
      <c r="P60" s="740"/>
      <c r="Q60" s="740"/>
      <c r="R60" s="740"/>
      <c r="S60" s="740"/>
      <c r="T60" s="740"/>
      <c r="U60" s="740"/>
      <c r="V60" s="740"/>
      <c r="W60" s="740"/>
      <c r="X60" s="740"/>
    </row>
    <row r="61" spans="3:24" ht="17.25" customHeight="1" thickBot="1" x14ac:dyDescent="0.35">
      <c r="C61" s="740"/>
      <c r="D61" s="740"/>
      <c r="E61" s="740"/>
      <c r="F61" s="740"/>
      <c r="G61" s="753" t="s">
        <v>709</v>
      </c>
      <c r="H61" s="742"/>
      <c r="I61" s="751">
        <f xml:space="preserve"> ( J61 + J34 ) / ( 1 + J41 )</f>
        <v>8000.0000000000009</v>
      </c>
      <c r="J61" s="751">
        <f xml:space="preserve"> ( K61 + K34 ) / ( 1 + K41 )</f>
        <v>8933.1000000000022</v>
      </c>
      <c r="K61" s="751">
        <f xml:space="preserve"> ( L61 + L34 ) / ( 1 + L41 )</f>
        <v>10610.396139726028</v>
      </c>
      <c r="L61" s="751">
        <f xml:space="preserve"> ( M61 + M34 ) / ( 1 + M41 )</f>
        <v>13095.389699380821</v>
      </c>
      <c r="M61" s="751">
        <f xml:space="preserve"> ( N61 + N34 ) / ( 1 + N41 )</f>
        <v>16472.881970240644</v>
      </c>
      <c r="N61" s="751">
        <v>0</v>
      </c>
      <c r="O61" s="740"/>
      <c r="P61" s="740"/>
      <c r="Q61" s="740"/>
      <c r="R61" s="740"/>
      <c r="S61" s="740"/>
      <c r="T61" s="740"/>
      <c r="U61" s="740"/>
      <c r="V61" s="740"/>
      <c r="W61" s="740"/>
      <c r="X61" s="740"/>
    </row>
    <row r="62" spans="3:24" ht="15" thickBot="1" x14ac:dyDescent="0.35">
      <c r="C62" s="740"/>
      <c r="D62" s="740"/>
      <c r="E62" s="740"/>
      <c r="F62" s="740"/>
      <c r="G62" s="752" t="s">
        <v>676</v>
      </c>
      <c r="H62" s="748"/>
      <c r="I62" s="750" t="str">
        <f t="shared" ref="I62:N62" si="15" xml:space="preserve"> IF( ABS(I61-I60) &lt; 10^-8, "ok", "ERR" )</f>
        <v>ok</v>
      </c>
      <c r="J62" s="750" t="str">
        <f t="shared" si="15"/>
        <v>ok</v>
      </c>
      <c r="K62" s="750" t="str">
        <f t="shared" si="15"/>
        <v>ok</v>
      </c>
      <c r="L62" s="750" t="str">
        <f t="shared" si="15"/>
        <v>ok</v>
      </c>
      <c r="M62" s="750" t="str">
        <f t="shared" si="15"/>
        <v>ok</v>
      </c>
      <c r="N62" s="750" t="str">
        <f t="shared" si="15"/>
        <v>ok</v>
      </c>
      <c r="O62" s="740"/>
      <c r="P62" s="740"/>
      <c r="Q62" s="740"/>
      <c r="R62" s="740"/>
      <c r="S62" s="740"/>
      <c r="T62" s="740"/>
      <c r="U62" s="740"/>
      <c r="V62" s="740"/>
      <c r="W62" s="740"/>
      <c r="X62" s="740"/>
    </row>
    <row r="63" spans="3:24" x14ac:dyDescent="0.3">
      <c r="C63" s="740"/>
      <c r="D63" s="740"/>
      <c r="E63" s="740"/>
      <c r="F63" s="740"/>
      <c r="G63" s="740"/>
      <c r="H63" s="740"/>
      <c r="I63" s="740"/>
      <c r="J63" s="740"/>
      <c r="K63" s="740"/>
      <c r="L63" s="740"/>
      <c r="M63" s="740"/>
      <c r="N63" s="740"/>
      <c r="O63" s="740"/>
      <c r="P63" s="740"/>
      <c r="Q63" s="740"/>
      <c r="R63" s="740"/>
      <c r="S63" s="740"/>
      <c r="T63" s="740"/>
      <c r="U63" s="740"/>
      <c r="V63" s="740"/>
      <c r="W63" s="740"/>
      <c r="X63" s="740"/>
    </row>
    <row r="64" spans="3:24" x14ac:dyDescent="0.3">
      <c r="C64" s="740"/>
      <c r="D64" s="740"/>
      <c r="E64" s="740"/>
      <c r="F64" s="740"/>
      <c r="G64" s="740"/>
      <c r="H64" s="740"/>
      <c r="I64" s="740"/>
      <c r="J64" s="740"/>
      <c r="K64" s="740"/>
      <c r="L64" s="740"/>
      <c r="M64" s="740"/>
      <c r="N64" s="740"/>
      <c r="O64" s="740"/>
      <c r="P64" s="740"/>
      <c r="Q64" s="740"/>
      <c r="R64" s="740"/>
      <c r="S64" s="740"/>
      <c r="T64" s="740"/>
      <c r="U64" s="740"/>
      <c r="V64" s="740"/>
      <c r="W64" s="740"/>
      <c r="X64" s="740"/>
    </row>
    <row r="65" spans="3:24" s="156" customFormat="1" ht="17.25" customHeight="1" x14ac:dyDescent="0.3">
      <c r="G65" s="835" t="str">
        <f xml:space="preserve"> G$29</f>
        <v xml:space="preserve"> + Cash flow from operations (CCF)</v>
      </c>
      <c r="H65" s="767"/>
      <c r="I65" s="782">
        <f t="shared" ref="I65:N65" si="16" xml:space="preserve"> I$29</f>
        <v>-23750</v>
      </c>
      <c r="J65" s="782">
        <f t="shared" si="16"/>
        <v>6203.8921232876673</v>
      </c>
      <c r="K65" s="782">
        <f t="shared" si="16"/>
        <v>5996.8252089041116</v>
      </c>
      <c r="L65" s="782">
        <f t="shared" si="16"/>
        <v>6853.6678337465801</v>
      </c>
      <c r="M65" s="782">
        <f t="shared" si="16"/>
        <v>7793.8466063642281</v>
      </c>
      <c r="N65" s="782">
        <f t="shared" si="16"/>
        <v>13286.638132654705</v>
      </c>
    </row>
    <row r="66" spans="3:24" s="156" customFormat="1" ht="17.25" customHeight="1" x14ac:dyDescent="0.3">
      <c r="G66" s="835" t="str">
        <f xml:space="preserve"> G$33</f>
        <v xml:space="preserve"> + Cash flow to debtholders</v>
      </c>
      <c r="H66" s="767"/>
      <c r="I66" s="782">
        <f t="shared" ref="I66:N66" si="17" xml:space="preserve"> I$33</f>
        <v>-12000</v>
      </c>
      <c r="J66" s="782">
        <f t="shared" si="17"/>
        <v>2640</v>
      </c>
      <c r="K66" s="782">
        <f t="shared" si="17"/>
        <v>2592</v>
      </c>
      <c r="L66" s="782">
        <f t="shared" si="17"/>
        <v>2544</v>
      </c>
      <c r="M66" s="782">
        <f t="shared" si="17"/>
        <v>2496</v>
      </c>
      <c r="N66" s="782">
        <f t="shared" si="17"/>
        <v>2448</v>
      </c>
    </row>
    <row r="67" spans="3:24" ht="17.25" customHeight="1" x14ac:dyDescent="0.3">
      <c r="C67" s="740"/>
      <c r="D67" s="740"/>
      <c r="E67" s="740"/>
      <c r="F67" s="740"/>
      <c r="G67" s="796" t="s">
        <v>672</v>
      </c>
      <c r="H67" s="742"/>
      <c r="I67" s="751">
        <f t="shared" ref="I67:N67" si="18" xml:space="preserve"> I65 - I66</f>
        <v>-11750</v>
      </c>
      <c r="J67" s="751">
        <f t="shared" si="18"/>
        <v>3563.8921232876673</v>
      </c>
      <c r="K67" s="751">
        <f t="shared" si="18"/>
        <v>3404.8252089041116</v>
      </c>
      <c r="L67" s="751">
        <f t="shared" si="18"/>
        <v>4309.6678337465801</v>
      </c>
      <c r="M67" s="751">
        <f t="shared" si="18"/>
        <v>5297.8466063642281</v>
      </c>
      <c r="N67" s="751">
        <f t="shared" si="18"/>
        <v>10838.638132654705</v>
      </c>
      <c r="O67" s="740"/>
      <c r="P67" s="740"/>
      <c r="Q67" s="740"/>
      <c r="R67" s="740"/>
      <c r="S67" s="740"/>
      <c r="T67" s="740"/>
      <c r="U67" s="740"/>
      <c r="V67" s="740"/>
      <c r="W67" s="740"/>
      <c r="X67" s="740"/>
    </row>
    <row r="68" spans="3:24" s="38" customFormat="1" ht="6.6" x14ac:dyDescent="0.3"/>
    <row r="69" spans="3:24" ht="17.25" customHeight="1" x14ac:dyDescent="0.3">
      <c r="C69" s="740"/>
      <c r="D69" s="740"/>
      <c r="E69" s="740"/>
      <c r="F69" s="740"/>
      <c r="G69" s="834" t="s">
        <v>696</v>
      </c>
      <c r="H69" s="742"/>
      <c r="I69" s="751"/>
      <c r="J69" s="751"/>
      <c r="K69" s="751"/>
      <c r="L69" s="751"/>
      <c r="M69" s="751"/>
      <c r="N69" s="751">
        <f>M14 +N24</f>
        <v>21927.249729206156</v>
      </c>
      <c r="O69" s="740"/>
      <c r="P69" s="740"/>
      <c r="Q69" s="740"/>
      <c r="R69" s="740"/>
      <c r="S69" s="740"/>
      <c r="T69" s="740"/>
      <c r="U69" s="740"/>
      <c r="V69" s="740"/>
      <c r="W69" s="740"/>
      <c r="X69" s="740"/>
    </row>
    <row r="70" spans="3:24" s="156" customFormat="1" ht="17.25" customHeight="1" x14ac:dyDescent="0.3">
      <c r="G70" s="767" t="s">
        <v>675</v>
      </c>
      <c r="H70" s="767"/>
      <c r="I70" s="782">
        <f xml:space="preserve"> I$67</f>
        <v>-11750</v>
      </c>
      <c r="J70" s="782">
        <f t="shared" ref="J70:N70" si="19" xml:space="preserve"> J$67</f>
        <v>3563.8921232876673</v>
      </c>
      <c r="K70" s="782">
        <f t="shared" si="19"/>
        <v>3404.8252089041116</v>
      </c>
      <c r="L70" s="782">
        <f t="shared" si="19"/>
        <v>4309.6678337465801</v>
      </c>
      <c r="M70" s="782">
        <f t="shared" si="19"/>
        <v>5297.8466063642281</v>
      </c>
      <c r="N70" s="782">
        <f t="shared" si="19"/>
        <v>10838.638132654705</v>
      </c>
    </row>
    <row r="71" spans="3:24" ht="17.25" customHeight="1" thickBot="1" x14ac:dyDescent="0.35">
      <c r="C71" s="740"/>
      <c r="D71" s="740"/>
      <c r="E71" s="740"/>
      <c r="F71" s="740"/>
      <c r="G71" s="834" t="s">
        <v>695</v>
      </c>
      <c r="H71" s="742"/>
      <c r="I71" s="751"/>
      <c r="J71" s="751"/>
      <c r="K71" s="751"/>
      <c r="L71" s="751"/>
      <c r="M71" s="751"/>
      <c r="N71" s="751">
        <f xml:space="preserve"> N70 + N30</f>
        <v>21927.249729206156</v>
      </c>
      <c r="O71" s="740"/>
      <c r="P71" s="740"/>
      <c r="Q71" s="740"/>
      <c r="R71" s="740"/>
      <c r="S71" s="740"/>
      <c r="T71" s="740"/>
      <c r="U71" s="740"/>
      <c r="V71" s="740"/>
      <c r="W71" s="740"/>
      <c r="X71" s="740"/>
    </row>
    <row r="72" spans="3:24" ht="13.8" thickBot="1" x14ac:dyDescent="0.35">
      <c r="C72" s="740"/>
      <c r="D72" s="740"/>
      <c r="E72" s="740"/>
      <c r="F72" s="740"/>
      <c r="G72" s="752" t="s">
        <v>673</v>
      </c>
      <c r="H72" s="748"/>
      <c r="I72" s="749"/>
      <c r="J72" s="749"/>
      <c r="K72" s="749"/>
      <c r="L72" s="749"/>
      <c r="M72" s="749"/>
      <c r="N72" s="750" t="str">
        <f xml:space="preserve"> IF( ABS(N71-N69) &lt; 10^-8, "ok", "ERR" )</f>
        <v>ok</v>
      </c>
      <c r="O72" s="740"/>
      <c r="P72" s="740"/>
      <c r="Q72" s="740"/>
      <c r="R72" s="740"/>
      <c r="S72" s="740"/>
      <c r="T72" s="740"/>
      <c r="U72" s="740"/>
      <c r="V72" s="740"/>
      <c r="W72" s="740"/>
      <c r="X72" s="740"/>
    </row>
    <row r="73" spans="3:24" s="38" customFormat="1" ht="6.6" x14ac:dyDescent="0.3"/>
    <row r="74" spans="3:24" ht="17.25" customHeight="1" x14ac:dyDescent="0.3">
      <c r="C74" s="740"/>
      <c r="D74" s="740"/>
      <c r="E74" s="740"/>
      <c r="F74" s="740"/>
      <c r="G74" s="834" t="s">
        <v>697</v>
      </c>
      <c r="H74" s="742"/>
      <c r="I74" s="751"/>
      <c r="J74" s="751"/>
      <c r="K74" s="751"/>
      <c r="L74" s="751"/>
      <c r="M74" s="751"/>
      <c r="N74" s="751">
        <f>M10 + N20</f>
        <v>11088.611596551456</v>
      </c>
      <c r="O74" s="740"/>
      <c r="P74" s="740"/>
      <c r="Q74" s="740"/>
      <c r="R74" s="740"/>
      <c r="S74" s="740"/>
      <c r="T74" s="740"/>
      <c r="U74" s="740"/>
      <c r="V74" s="740"/>
      <c r="W74" s="740"/>
      <c r="X74" s="740"/>
    </row>
    <row r="75" spans="3:24" s="156" customFormat="1" ht="17.25" customHeight="1" x14ac:dyDescent="0.3">
      <c r="G75" s="767" t="s">
        <v>675</v>
      </c>
      <c r="H75" s="767"/>
      <c r="I75" s="782">
        <f xml:space="preserve"> I$67</f>
        <v>-11750</v>
      </c>
      <c r="J75" s="782">
        <f t="shared" ref="J75:N75" si="20" xml:space="preserve"> J$67</f>
        <v>3563.8921232876673</v>
      </c>
      <c r="K75" s="782">
        <f t="shared" si="20"/>
        <v>3404.8252089041116</v>
      </c>
      <c r="L75" s="782">
        <f t="shared" si="20"/>
        <v>4309.6678337465801</v>
      </c>
      <c r="M75" s="782">
        <f t="shared" si="20"/>
        <v>5297.8466063642281</v>
      </c>
      <c r="N75" s="782">
        <f t="shared" si="20"/>
        <v>10838.638132654705</v>
      </c>
    </row>
    <row r="76" spans="3:24" ht="17.25" customHeight="1" thickBot="1" x14ac:dyDescent="0.35">
      <c r="C76" s="740"/>
      <c r="D76" s="740"/>
      <c r="E76" s="740"/>
      <c r="F76" s="740"/>
      <c r="G76" s="834" t="s">
        <v>698</v>
      </c>
      <c r="H76" s="742"/>
      <c r="I76" s="751"/>
      <c r="J76" s="751"/>
      <c r="K76" s="751"/>
      <c r="L76" s="751"/>
      <c r="M76" s="751"/>
      <c r="N76" s="751">
        <f xml:space="preserve"> N34 - N75</f>
        <v>11088.611596551451</v>
      </c>
      <c r="O76" s="740"/>
      <c r="P76" s="740"/>
      <c r="Q76" s="740"/>
      <c r="R76" s="740"/>
      <c r="S76" s="740"/>
      <c r="T76" s="740"/>
      <c r="U76" s="740"/>
      <c r="V76" s="740"/>
      <c r="W76" s="740"/>
      <c r="X76" s="740"/>
    </row>
    <row r="77" spans="3:24" ht="13.8" thickBot="1" x14ac:dyDescent="0.35">
      <c r="C77" s="740"/>
      <c r="D77" s="740"/>
      <c r="E77" s="740"/>
      <c r="F77" s="740"/>
      <c r="G77" s="752" t="s">
        <v>674</v>
      </c>
      <c r="H77" s="748"/>
      <c r="I77" s="749"/>
      <c r="J77" s="749"/>
      <c r="K77" s="749"/>
      <c r="L77" s="749"/>
      <c r="M77" s="749"/>
      <c r="N77" s="750" t="str">
        <f xml:space="preserve"> IF( ABS(N76-N74) &lt; 10^-8, "ok", "ERR" )</f>
        <v>ok</v>
      </c>
      <c r="O77" s="740"/>
      <c r="P77" s="740"/>
      <c r="Q77" s="740"/>
      <c r="R77" s="740"/>
      <c r="S77" s="740"/>
      <c r="T77" s="740"/>
      <c r="U77" s="740"/>
      <c r="V77" s="740"/>
      <c r="W77" s="740"/>
      <c r="X77" s="740"/>
    </row>
    <row r="78" spans="3:24" x14ac:dyDescent="0.3">
      <c r="C78" s="740"/>
      <c r="D78" s="740"/>
      <c r="E78" s="740"/>
      <c r="F78" s="740"/>
      <c r="G78" s="740"/>
      <c r="H78" s="740"/>
      <c r="I78" s="740"/>
      <c r="J78" s="740"/>
      <c r="K78" s="740"/>
      <c r="L78" s="740"/>
      <c r="M78" s="740"/>
      <c r="N78" s="740"/>
      <c r="O78" s="740"/>
      <c r="P78" s="740"/>
      <c r="Q78" s="740"/>
      <c r="R78" s="740"/>
      <c r="S78" s="740"/>
      <c r="T78" s="740"/>
      <c r="U78" s="740"/>
      <c r="V78" s="740"/>
      <c r="W78" s="740"/>
      <c r="X78" s="740"/>
    </row>
    <row r="79" spans="3:24" x14ac:dyDescent="0.3">
      <c r="C79" s="740"/>
      <c r="D79" s="740"/>
      <c r="E79" s="740"/>
      <c r="F79" s="740"/>
      <c r="G79" s="740"/>
      <c r="H79" s="740"/>
      <c r="I79" s="740"/>
      <c r="J79" s="740"/>
      <c r="K79" s="740"/>
      <c r="L79" s="740"/>
      <c r="M79" s="740"/>
      <c r="N79" s="740"/>
      <c r="O79" s="740"/>
      <c r="P79" s="740"/>
      <c r="Q79" s="740"/>
      <c r="R79" s="740"/>
      <c r="S79" s="740"/>
      <c r="T79" s="740"/>
      <c r="U79" s="740"/>
      <c r="V79" s="740"/>
      <c r="W79" s="740"/>
      <c r="X79" s="740"/>
    </row>
    <row r="80" spans="3:24" x14ac:dyDescent="0.3">
      <c r="C80" s="740"/>
      <c r="D80" s="740"/>
      <c r="E80" s="740"/>
      <c r="F80" s="740"/>
      <c r="G80" s="740"/>
      <c r="H80" s="740"/>
      <c r="I80" s="740"/>
      <c r="J80" s="740"/>
      <c r="K80" s="740"/>
      <c r="L80" s="740"/>
      <c r="M80" s="740"/>
      <c r="N80" s="740"/>
      <c r="O80" s="740"/>
      <c r="P80" s="740"/>
      <c r="Q80" s="740"/>
      <c r="R80" s="740"/>
      <c r="S80" s="740"/>
      <c r="T80" s="740"/>
      <c r="U80" s="740"/>
      <c r="V80" s="740"/>
      <c r="W80" s="740"/>
      <c r="X80" s="740"/>
    </row>
    <row r="81" spans="3:24" x14ac:dyDescent="0.3">
      <c r="C81" s="740"/>
      <c r="D81" s="740"/>
      <c r="E81" s="740"/>
      <c r="F81" s="740"/>
      <c r="G81" s="740"/>
      <c r="H81" s="740"/>
      <c r="I81" s="740"/>
      <c r="J81" s="740"/>
      <c r="K81" s="740"/>
      <c r="L81" s="740"/>
      <c r="M81" s="740"/>
      <c r="N81" s="740"/>
      <c r="O81" s="740"/>
      <c r="P81" s="740"/>
      <c r="Q81" s="740"/>
      <c r="R81" s="740"/>
      <c r="S81" s="740"/>
      <c r="T81" s="740"/>
      <c r="U81" s="740"/>
      <c r="V81" s="740"/>
      <c r="W81" s="740"/>
      <c r="X81" s="740"/>
    </row>
    <row r="82" spans="3:24" x14ac:dyDescent="0.3">
      <c r="C82" s="740"/>
      <c r="D82" s="740"/>
      <c r="E82" s="740"/>
      <c r="F82" s="740"/>
      <c r="G82" s="740"/>
      <c r="H82" s="740"/>
      <c r="I82" s="740"/>
      <c r="J82" s="740"/>
      <c r="K82" s="740"/>
      <c r="L82" s="740"/>
      <c r="M82" s="740"/>
      <c r="N82" s="740"/>
      <c r="O82" s="740"/>
      <c r="P82" s="740"/>
      <c r="Q82" s="740"/>
      <c r="R82" s="740"/>
      <c r="S82" s="740"/>
      <c r="T82" s="740"/>
      <c r="U82" s="740"/>
      <c r="V82" s="740"/>
      <c r="W82" s="740"/>
      <c r="X82" s="740"/>
    </row>
    <row r="83" spans="3:24" x14ac:dyDescent="0.3">
      <c r="C83" s="740"/>
      <c r="D83" s="740"/>
      <c r="E83" s="740"/>
      <c r="F83" s="740"/>
      <c r="G83" s="740"/>
      <c r="H83" s="740"/>
      <c r="I83" s="740"/>
      <c r="J83" s="740"/>
      <c r="K83" s="740"/>
      <c r="L83" s="740"/>
      <c r="M83" s="740"/>
      <c r="N83" s="740"/>
      <c r="O83" s="740"/>
      <c r="P83" s="740"/>
      <c r="Q83" s="740"/>
      <c r="R83" s="740"/>
      <c r="S83" s="740"/>
      <c r="T83" s="740"/>
      <c r="U83" s="740"/>
      <c r="V83" s="740"/>
      <c r="W83" s="740"/>
      <c r="X83" s="740"/>
    </row>
  </sheetData>
  <conditionalFormatting sqref="I50:N50">
    <cfRule type="cellIs" dxfId="22" priority="25" operator="equal">
      <formula>"ERR"</formula>
    </cfRule>
  </conditionalFormatting>
  <conditionalFormatting sqref="I54:N54">
    <cfRule type="cellIs" dxfId="21" priority="19" operator="equal">
      <formula>"ERR"</formula>
    </cfRule>
  </conditionalFormatting>
  <conditionalFormatting sqref="I58:N58">
    <cfRule type="cellIs" dxfId="20" priority="16" operator="equal">
      <formula>"ERR"</formula>
    </cfRule>
  </conditionalFormatting>
  <conditionalFormatting sqref="I62:N62">
    <cfRule type="cellIs" dxfId="19" priority="13" operator="equal">
      <formula>"ERR"</formula>
    </cfRule>
  </conditionalFormatting>
  <conditionalFormatting sqref="J46:N46">
    <cfRule type="cellIs" dxfId="18" priority="32" operator="equal">
      <formula>"ERR"</formula>
    </cfRule>
  </conditionalFormatting>
  <conditionalFormatting sqref="N72">
    <cfRule type="cellIs" dxfId="17" priority="9" operator="equal">
      <formula>"ERR"</formula>
    </cfRule>
  </conditionalFormatting>
  <conditionalFormatting sqref="N77">
    <cfRule type="cellIs" dxfId="16" priority="7" operator="equal">
      <formula>"ERR"</formula>
    </cfRule>
  </conditionalFormatting>
  <conditionalFormatting sqref="S15">
    <cfRule type="cellIs" dxfId="15" priority="2" operator="equal">
      <formula>"ERR"</formula>
    </cfRule>
  </conditionalFormatting>
  <conditionalFormatting sqref="S25">
    <cfRule type="cellIs" dxfId="14" priority="1" operator="equal">
      <formula>"ERR"</formula>
    </cfRule>
  </conditionalFormatting>
  <conditionalFormatting sqref="S35">
    <cfRule type="cellIs" dxfId="13" priority="3" operator="equal">
      <formula>"ERR"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1BD6C-4100-4729-9F7A-48E90CD56F61}">
  <dimension ref="A1:X98"/>
  <sheetViews>
    <sheetView zoomScaleNormal="100" workbookViewId="0">
      <pane xSplit="7" ySplit="3" topLeftCell="H4" activePane="bottomRight" state="frozen"/>
      <selection pane="topRight" activeCell="H1" sqref="H1"/>
      <selection pane="bottomLeft" activeCell="A5" sqref="A5"/>
      <selection pane="bottomRight" activeCell="H4" sqref="H4"/>
    </sheetView>
  </sheetViews>
  <sheetFormatPr defaultColWidth="9.109375" defaultRowHeight="13.2" x14ac:dyDescent="0.3"/>
  <cols>
    <col min="1" max="3" width="1.6640625" style="196" customWidth="1"/>
    <col min="4" max="6" width="5.6640625" style="196" customWidth="1"/>
    <col min="7" max="7" width="57.109375" style="196" customWidth="1"/>
    <col min="8" max="8" width="9.6640625" style="196" customWidth="1"/>
    <col min="9" max="9" width="9.109375" style="196" customWidth="1"/>
    <col min="10" max="14" width="7.88671875" style="196" customWidth="1"/>
    <col min="15" max="15" width="2.88671875" style="196" customWidth="1"/>
    <col min="16" max="16" width="9.109375" style="196"/>
    <col min="17" max="17" width="2.88671875" style="196" customWidth="1"/>
    <col min="18" max="18" width="17.109375" style="196" customWidth="1"/>
    <col min="19" max="19" width="8" style="196" customWidth="1"/>
    <col min="20" max="16384" width="9.109375" style="196"/>
  </cols>
  <sheetData>
    <row r="1" spans="1:19" ht="13.8" thickBot="1" x14ac:dyDescent="0.35"/>
    <row r="2" spans="1:19" s="932" customFormat="1" ht="21.6" thickBot="1" x14ac:dyDescent="0.35">
      <c r="C2" s="933"/>
      <c r="G2" s="933" t="s">
        <v>882</v>
      </c>
    </row>
    <row r="3" spans="1:19" s="38" customFormat="1" ht="6.6" x14ac:dyDescent="0.3"/>
    <row r="4" spans="1:19" s="38" customFormat="1" ht="7.2" thickBot="1" x14ac:dyDescent="0.35"/>
    <row r="5" spans="1:19" s="533" customFormat="1" ht="16.8" thickBot="1" x14ac:dyDescent="0.35">
      <c r="A5" s="532"/>
      <c r="B5" s="531"/>
      <c r="C5" s="531"/>
      <c r="D5" s="530"/>
      <c r="E5" s="531"/>
      <c r="F5" s="531"/>
      <c r="G5" s="532"/>
      <c r="H5" s="531" t="s">
        <v>671</v>
      </c>
    </row>
    <row r="6" spans="1:19" ht="13.8" thickBot="1" x14ac:dyDescent="0.35"/>
    <row r="7" spans="1:19" s="104" customFormat="1" ht="16.8" thickBot="1" x14ac:dyDescent="0.35">
      <c r="G7" s="870" t="s">
        <v>630</v>
      </c>
      <c r="I7" s="889" t="s">
        <v>713</v>
      </c>
      <c r="J7" s="890" t="s">
        <v>714</v>
      </c>
      <c r="K7" s="890" t="s">
        <v>715</v>
      </c>
      <c r="L7" s="890" t="s">
        <v>716</v>
      </c>
      <c r="M7" s="890" t="s">
        <v>717</v>
      </c>
      <c r="N7" s="891" t="s">
        <v>718</v>
      </c>
      <c r="P7" s="885" t="s">
        <v>719</v>
      </c>
    </row>
    <row r="8" spans="1:19" s="871" customFormat="1" ht="4.8" thickBot="1" x14ac:dyDescent="0.35">
      <c r="I8" s="883"/>
      <c r="J8" s="883"/>
      <c r="K8" s="883"/>
      <c r="L8" s="883"/>
      <c r="M8" s="883"/>
      <c r="N8" s="883"/>
      <c r="P8" s="883"/>
    </row>
    <row r="9" spans="1:19" s="104" customFormat="1" ht="14.4" x14ac:dyDescent="0.3">
      <c r="D9" s="872" t="s">
        <v>720</v>
      </c>
      <c r="G9" s="873" t="s">
        <v>638</v>
      </c>
      <c r="H9" s="903" t="s">
        <v>720</v>
      </c>
      <c r="I9" s="892">
        <f xml:space="preserve"> INDEX( SplitScreenStrip!$G$83:$Y$86, MATCH( $D9, SplitScreenStrip!$D$83:$D$86, 0 ), MATCH( I$7, SplitScreenStrip!$G$82:$Y$82, 0 ) )</f>
        <v>25497.512523568803</v>
      </c>
      <c r="J9" s="893">
        <f xml:space="preserve"> INDEX( SplitScreenStrip!$G$83:$Y$86, MATCH( $D9, SplitScreenStrip!$D$83:$D$86, 0 ), MATCH( J$7, SplitScreenStrip!$G$82:$Y$82, 0 ) )</f>
        <v>23118.247278816452</v>
      </c>
      <c r="K9" s="893">
        <f xml:space="preserve"> INDEX( SplitScreenStrip!$G$83:$Y$86, MATCH( $D9, SplitScreenStrip!$D$83:$D$86, 0 ), MATCH( K$7, SplitScreenStrip!$G$82:$Y$82, 0 ) )</f>
        <v>20589.159161734806</v>
      </c>
      <c r="L9" s="893">
        <f xml:space="preserve"> INDEX( SplitScreenStrip!$G$83:$Y$86, MATCH( $D9, SplitScreenStrip!$D$83:$D$86, 0 ), MATCH( L$7, SplitScreenStrip!$G$82:$Y$82, 0 ) )</f>
        <v>16823.865202248446</v>
      </c>
      <c r="M9" s="893">
        <f xml:space="preserve"> INDEX( SplitScreenStrip!$G$83:$Y$86, MATCH( $D9, SplitScreenStrip!$D$83:$D$86, 0 ), MATCH( M$7, SplitScreenStrip!$G$82:$Y$82, 0 ) )</f>
        <v>11553.598376221484</v>
      </c>
      <c r="N9" s="894">
        <f xml:space="preserve"> INDEX( SplitScreenStrip!$G$83:$Y$86, MATCH( $D9, SplitScreenStrip!$D$83:$D$86, 0 ), MATCH( N$7, SplitScreenStrip!$G$82:$Y$82, 0 ) )</f>
        <v>0</v>
      </c>
      <c r="P9" s="901">
        <f xml:space="preserve"> SUM( I9:N9 )</f>
        <v>97582.38254259</v>
      </c>
    </row>
    <row r="10" spans="1:19" s="104" customFormat="1" ht="15" thickBot="1" x14ac:dyDescent="0.35">
      <c r="D10" s="872" t="s">
        <v>721</v>
      </c>
      <c r="G10" s="874" t="s">
        <v>639</v>
      </c>
      <c r="H10" s="904" t="s">
        <v>721</v>
      </c>
      <c r="I10" s="895">
        <f xml:space="preserve"> INDEX( SplitScreenStrip!$G$83:$Y$86, MATCH( $D10, SplitScreenStrip!$D$83:$D$86, 0 ), MATCH( I$7, SplitScreenStrip!$G$82:$Y$82, 0 ) )</f>
        <v>-3533.5263740797186</v>
      </c>
      <c r="J10" s="896">
        <f xml:space="preserve"> INDEX( SplitScreenStrip!$G$83:$Y$86, MATCH( $D10, SplitScreenStrip!$D$83:$D$86, 0 ), MATCH( J$7, SplitScreenStrip!$G$82:$Y$82, 0 ) )</f>
        <v>-238.24451453284823</v>
      </c>
      <c r="K10" s="896">
        <f xml:space="preserve"> INDEX( SplitScreenStrip!$G$83:$Y$86, MATCH( $D10, SplitScreenStrip!$D$83:$D$86, 0 ), MATCH( K$7, SplitScreenStrip!$G$82:$Y$82, 0 ) )</f>
        <v>2744.8742142944279</v>
      </c>
      <c r="L10" s="896">
        <f xml:space="preserve"> INDEX( SplitScreenStrip!$G$83:$Y$86, MATCH( $D10, SplitScreenStrip!$D$83:$D$86, 0 ), MATCH( L$7, SplitScreenStrip!$G$82:$Y$82, 0 ) )</f>
        <v>6460.7424002702537</v>
      </c>
      <c r="M10" s="896">
        <f xml:space="preserve"> INDEX( SplitScreenStrip!$G$83:$Y$86, MATCH( $D10, SplitScreenStrip!$D$83:$D$86, 0 ), MATCH( M$7, SplitScreenStrip!$G$82:$Y$82, 0 ) )</f>
        <v>10978.823362922229</v>
      </c>
      <c r="N10" s="897">
        <f xml:space="preserve"> INDEX( SplitScreenStrip!$G$83:$Y$86, MATCH( $D10, SplitScreenStrip!$D$83:$D$86, 0 ), MATCH( N$7, SplitScreenStrip!$G$82:$Y$82, 0 ) )</f>
        <v>0</v>
      </c>
      <c r="P10" s="902">
        <f xml:space="preserve"> SUM( I10:N10 )</f>
        <v>16412.669088874343</v>
      </c>
    </row>
    <row r="11" spans="1:19" s="104" customFormat="1" ht="15" thickBot="1" x14ac:dyDescent="0.35">
      <c r="G11" s="873"/>
      <c r="H11" s="887" t="s">
        <v>722</v>
      </c>
      <c r="I11" s="898">
        <f t="shared" ref="I11:N11" si="0" xml:space="preserve"> SUM( I9:I10 )</f>
        <v>21963.986149489083</v>
      </c>
      <c r="J11" s="899">
        <f t="shared" si="0"/>
        <v>22880.002764283603</v>
      </c>
      <c r="K11" s="899">
        <f t="shared" si="0"/>
        <v>23334.033376029234</v>
      </c>
      <c r="L11" s="899">
        <f t="shared" si="0"/>
        <v>23284.607602518699</v>
      </c>
      <c r="M11" s="899">
        <f t="shared" si="0"/>
        <v>22532.421739143712</v>
      </c>
      <c r="N11" s="900">
        <f t="shared" si="0"/>
        <v>0</v>
      </c>
      <c r="P11" s="886">
        <f xml:space="preserve"> SUM( I11:N11 )</f>
        <v>113995.05163146432</v>
      </c>
    </row>
    <row r="12" spans="1:19" s="871" customFormat="1" ht="4.8" thickBot="1" x14ac:dyDescent="0.35">
      <c r="H12" s="884"/>
      <c r="I12" s="883"/>
      <c r="J12" s="883"/>
      <c r="K12" s="883"/>
      <c r="L12" s="883"/>
      <c r="M12" s="883"/>
      <c r="N12" s="883"/>
      <c r="P12" s="883"/>
    </row>
    <row r="13" spans="1:19" s="104" customFormat="1" ht="14.4" x14ac:dyDescent="0.3">
      <c r="D13" s="872" t="s">
        <v>723</v>
      </c>
      <c r="G13" s="873" t="s">
        <v>640</v>
      </c>
      <c r="H13" s="903" t="s">
        <v>723</v>
      </c>
      <c r="I13" s="892">
        <f xml:space="preserve"> INDEX( SplitScreenStrip!$G$83:$Y$86, MATCH( $D13, SplitScreenStrip!$D$83:$D$86, 0 ), MATCH( I$7, SplitScreenStrip!$G$82:$Y$82, 0 ) )</f>
        <v>12173.884021634101</v>
      </c>
      <c r="J13" s="893">
        <f xml:space="preserve"> INDEX( SplitScreenStrip!$G$83:$Y$86, MATCH( $D13, SplitScreenStrip!$D$83:$D$86, 0 ), MATCH( J$7, SplitScreenStrip!$G$82:$Y$82, 0 ) )</f>
        <v>9716.4922819586118</v>
      </c>
      <c r="K13" s="893">
        <f xml:space="preserve"> INDEX( SplitScreenStrip!$G$83:$Y$86, MATCH( $D13, SplitScreenStrip!$D$83:$D$86, 0 ), MATCH( K$7, SplitScreenStrip!$G$82:$Y$82, 0 ) )</f>
        <v>7270.2396661879911</v>
      </c>
      <c r="L13" s="893">
        <f xml:space="preserve"> INDEX( SplitScreenStrip!$G$83:$Y$86, MATCH( $D13, SplitScreenStrip!$D$83:$D$86, 0 ), MATCH( L$7, SplitScreenStrip!$G$82:$Y$82, 0 ) )</f>
        <v>4835.2932611808101</v>
      </c>
      <c r="M13" s="893">
        <f xml:space="preserve"> INDEX( SplitScreenStrip!$G$83:$Y$86, MATCH( $D13, SplitScreenStrip!$D$83:$D$86, 0 ), MATCH( M$7, SplitScreenStrip!$G$82:$Y$82, 0 ) )</f>
        <v>2411.8226600985222</v>
      </c>
      <c r="N13" s="894">
        <f xml:space="preserve"> INDEX( SplitScreenStrip!$G$83:$Y$86, MATCH( $D13, SplitScreenStrip!$D$83:$D$86, 0 ), MATCH( N$7, SplitScreenStrip!$G$82:$Y$82, 0 ) )</f>
        <v>0</v>
      </c>
      <c r="P13" s="901">
        <f xml:space="preserve"> SUM( I13:N13 )</f>
        <v>36407.73189106003</v>
      </c>
    </row>
    <row r="14" spans="1:19" s="104" customFormat="1" ht="15" thickBot="1" x14ac:dyDescent="0.35">
      <c r="D14" s="872" t="s">
        <v>724</v>
      </c>
      <c r="G14" s="874" t="s">
        <v>641</v>
      </c>
      <c r="H14" s="904" t="s">
        <v>724</v>
      </c>
      <c r="I14" s="895">
        <f xml:space="preserve"> INDEX( SplitScreenStrip!$G$83:$Y$86, MATCH( $D14, SplitScreenStrip!$D$83:$D$86, 0 ), MATCH( I$7, SplitScreenStrip!$G$82:$Y$82, 0 ) )</f>
        <v>9790.1021278549815</v>
      </c>
      <c r="J14" s="896">
        <f xml:space="preserve"> INDEX( SplitScreenStrip!$G$83:$Y$86, MATCH( $D14, SplitScreenStrip!$D$83:$D$86, 0 ), MATCH( J$7, SplitScreenStrip!$G$82:$Y$82, 0 ) )</f>
        <v>13163.510482324991</v>
      </c>
      <c r="K14" s="896">
        <f xml:space="preserve"> INDEX( SplitScreenStrip!$G$83:$Y$86, MATCH( $D14, SplitScreenStrip!$D$83:$D$86, 0 ), MATCH( K$7, SplitScreenStrip!$G$82:$Y$82, 0 ) )</f>
        <v>16063.793709841244</v>
      </c>
      <c r="L14" s="896">
        <f xml:space="preserve"> INDEX( SplitScreenStrip!$G$83:$Y$86, MATCH( $D14, SplitScreenStrip!$D$83:$D$86, 0 ), MATCH( L$7, SplitScreenStrip!$G$82:$Y$82, 0 ) )</f>
        <v>18449.314341337889</v>
      </c>
      <c r="M14" s="896">
        <f xml:space="preserve"> INDEX( SplitScreenStrip!$G$83:$Y$86, MATCH( $D14, SplitScreenStrip!$D$83:$D$86, 0 ), MATCH( M$7, SplitScreenStrip!$G$82:$Y$82, 0 ) )</f>
        <v>20120.599079045191</v>
      </c>
      <c r="N14" s="897">
        <f xml:space="preserve"> INDEX( SplitScreenStrip!$G$83:$Y$86, MATCH( $D14, SplitScreenStrip!$D$83:$D$86, 0 ), MATCH( N$7, SplitScreenStrip!$G$82:$Y$82, 0 ) )</f>
        <v>0</v>
      </c>
      <c r="P14" s="902">
        <f xml:space="preserve"> SUM( I14:N14 )</f>
        <v>77587.319740404302</v>
      </c>
      <c r="Q14" s="875"/>
      <c r="R14" s="875"/>
    </row>
    <row r="15" spans="1:19" s="104" customFormat="1" ht="15" thickBot="1" x14ac:dyDescent="0.35">
      <c r="G15" s="873"/>
      <c r="H15" s="888" t="s">
        <v>725</v>
      </c>
      <c r="I15" s="898">
        <f t="shared" ref="I15:N15" si="1" xml:space="preserve"> SUM( I13:I14 )</f>
        <v>21963.986149489083</v>
      </c>
      <c r="J15" s="899">
        <f t="shared" si="1"/>
        <v>22880.002764283603</v>
      </c>
      <c r="K15" s="899">
        <f t="shared" si="1"/>
        <v>23334.033376029234</v>
      </c>
      <c r="L15" s="899">
        <f t="shared" si="1"/>
        <v>23284.607602518699</v>
      </c>
      <c r="M15" s="899">
        <f t="shared" si="1"/>
        <v>22532.421739143712</v>
      </c>
      <c r="N15" s="900">
        <f t="shared" si="1"/>
        <v>0</v>
      </c>
      <c r="P15" s="886">
        <f xml:space="preserve"> SUM( I15:N15 )</f>
        <v>113995.05163146432</v>
      </c>
      <c r="Q15" s="876"/>
      <c r="R15" s="752" t="s">
        <v>651</v>
      </c>
      <c r="S15" s="750" t="str">
        <f xml:space="preserve"> IF( ABS(P15-P11) &lt; 10^-8, "ok", "ERR" )</f>
        <v>ok</v>
      </c>
    </row>
    <row r="16" spans="1:19" s="104" customFormat="1" ht="13.8" thickBot="1" x14ac:dyDescent="0.35">
      <c r="Q16" s="877"/>
      <c r="R16" s="878"/>
    </row>
    <row r="17" spans="5:19" s="104" customFormat="1" ht="17.399999999999999" thickBot="1" x14ac:dyDescent="0.35">
      <c r="G17" s="870" t="s">
        <v>631</v>
      </c>
      <c r="I17" s="905" t="s">
        <v>726</v>
      </c>
      <c r="J17" s="906" t="s">
        <v>727</v>
      </c>
      <c r="K17" s="906" t="s">
        <v>728</v>
      </c>
      <c r="L17" s="906" t="s">
        <v>729</v>
      </c>
      <c r="M17" s="906" t="s">
        <v>730</v>
      </c>
      <c r="N17" s="907" t="s">
        <v>731</v>
      </c>
      <c r="P17" s="908" t="s">
        <v>732</v>
      </c>
      <c r="R17" s="879"/>
    </row>
    <row r="18" spans="5:19" s="871" customFormat="1" ht="4.8" thickBot="1" x14ac:dyDescent="0.35">
      <c r="I18" s="883"/>
      <c r="J18" s="883"/>
      <c r="K18" s="883"/>
      <c r="L18" s="883"/>
      <c r="M18" s="883"/>
      <c r="N18" s="883"/>
      <c r="P18" s="883"/>
    </row>
    <row r="19" spans="5:19" s="104" customFormat="1" ht="14.4" x14ac:dyDescent="0.3">
      <c r="E19" s="872" t="s">
        <v>733</v>
      </c>
      <c r="G19" s="873"/>
      <c r="H19" s="915" t="s">
        <v>733</v>
      </c>
      <c r="I19" s="892">
        <f xml:space="preserve"> INDEX( SplitScreenStrip!$G$83:$Y$86, MATCH( $E19, SplitScreenStrip!$E$83:$E$86, 0 ), MATCH( "+"&amp;I$17, SplitScreenStrip!$G$82:$Y$82, 0 ) )</f>
        <v>0</v>
      </c>
      <c r="J19" s="893">
        <f xml:space="preserve"> INDEX( SplitScreenStrip!$G$83:$Y$86, MATCH( $E19, SplitScreenStrip!$E$83:$E$86, 0 ), MATCH( "+"&amp;J$17, SplitScreenStrip!$G$82:$Y$82, 0 ) )</f>
        <v>3824.6268785353204</v>
      </c>
      <c r="K19" s="893">
        <f xml:space="preserve"> INDEX( SplitScreenStrip!$G$83:$Y$86, MATCH( $E19, SplitScreenStrip!$E$83:$E$86, 0 ), MATCH( "+"&amp;K$17, SplitScreenStrip!$G$82:$Y$82, 0 ) )</f>
        <v>3467.7370918224678</v>
      </c>
      <c r="L19" s="893">
        <f xml:space="preserve"> INDEX( SplitScreenStrip!$G$83:$Y$86, MATCH( $E19, SplitScreenStrip!$E$83:$E$86, 0 ), MATCH( "+"&amp;L$17, SplitScreenStrip!$G$82:$Y$82, 0 ) )</f>
        <v>3088.3738742602209</v>
      </c>
      <c r="M19" s="893">
        <f xml:space="preserve"> INDEX( SplitScreenStrip!$G$83:$Y$86, MATCH( $E19, SplitScreenStrip!$E$83:$E$86, 0 ), MATCH( "+"&amp;M$17, SplitScreenStrip!$G$82:$Y$82, 0 ) )</f>
        <v>2523.5797803372666</v>
      </c>
      <c r="N19" s="894">
        <f xml:space="preserve"> INDEX( SplitScreenStrip!$G$83:$Y$86, MATCH( $E19, SplitScreenStrip!$E$83:$E$86, 0 ), MATCH( "+"&amp;N$17, SplitScreenStrip!$G$82:$Y$82, 0 ) )</f>
        <v>1733.0397564332225</v>
      </c>
      <c r="P19" s="901">
        <f xml:space="preserve"> SUM( I19:N19 )</f>
        <v>14637.357381388498</v>
      </c>
      <c r="R19" s="879"/>
    </row>
    <row r="20" spans="5:19" s="104" customFormat="1" ht="15" thickBot="1" x14ac:dyDescent="0.35">
      <c r="E20" s="872" t="s">
        <v>734</v>
      </c>
      <c r="G20" s="874"/>
      <c r="H20" s="916" t="s">
        <v>734</v>
      </c>
      <c r="I20" s="895">
        <f xml:space="preserve"> INDEX( SplitScreenStrip!$G$83:$Y$86, MATCH( $E20, SplitScreenStrip!$E$83:$E$86, 0 ), MATCH( "+"&amp;I$17, SplitScreenStrip!$G$82:$Y$82, 0 ) )</f>
        <v>0</v>
      </c>
      <c r="J20" s="896">
        <f xml:space="preserve"> INDEX( SplitScreenStrip!$G$83:$Y$86, MATCH( $E20, SplitScreenStrip!$E$83:$E$86, 0 ), MATCH( "+"&amp;J$17, SplitScreenStrip!$G$82:$Y$82, 0 ) )</f>
        <v>-35.335263740797188</v>
      </c>
      <c r="K20" s="896">
        <f xml:space="preserve"> INDEX( SplitScreenStrip!$G$83:$Y$86, MATCH( $E20, SplitScreenStrip!$E$83:$E$86, 0 ), MATCH( "+"&amp;K$17, SplitScreenStrip!$G$82:$Y$82, 0 ) )</f>
        <v>-2.3824451453284823</v>
      </c>
      <c r="L20" s="896">
        <f xml:space="preserve"> INDEX( SplitScreenStrip!$G$83:$Y$86, MATCH( $E20, SplitScreenStrip!$E$83:$E$86, 0 ), MATCH( "+"&amp;L$17, SplitScreenStrip!$G$82:$Y$82, 0 ) )</f>
        <v>27.44874214294428</v>
      </c>
      <c r="M20" s="896">
        <f xml:space="preserve"> INDEX( SplitScreenStrip!$G$83:$Y$86, MATCH( $E20, SplitScreenStrip!$E$83:$E$86, 0 ), MATCH( "+"&amp;M$17, SplitScreenStrip!$G$82:$Y$82, 0 ) )</f>
        <v>64.607424002702544</v>
      </c>
      <c r="N20" s="897">
        <f xml:space="preserve"> INDEX( SplitScreenStrip!$G$83:$Y$86, MATCH( $E20, SplitScreenStrip!$E$83:$E$86, 0 ), MATCH( "+"&amp;N$17, SplitScreenStrip!$G$82:$Y$82, 0 ) )</f>
        <v>109.78823362922229</v>
      </c>
      <c r="P20" s="902">
        <f xml:space="preserve"> SUM( I20:N20 )</f>
        <v>164.12669088874344</v>
      </c>
    </row>
    <row r="21" spans="5:19" s="104" customFormat="1" ht="15" thickBot="1" x14ac:dyDescent="0.35">
      <c r="G21" s="873"/>
      <c r="H21" s="910" t="s">
        <v>735</v>
      </c>
      <c r="I21" s="911">
        <f t="shared" ref="I21:N21" si="2" xml:space="preserve"> SUM( I19:I20 )</f>
        <v>0</v>
      </c>
      <c r="J21" s="912">
        <f t="shared" si="2"/>
        <v>3789.2916147945234</v>
      </c>
      <c r="K21" s="912">
        <f t="shared" si="2"/>
        <v>3465.3546466771395</v>
      </c>
      <c r="L21" s="912">
        <f t="shared" si="2"/>
        <v>3115.8226164031653</v>
      </c>
      <c r="M21" s="912">
        <f t="shared" si="2"/>
        <v>2588.187204339969</v>
      </c>
      <c r="N21" s="913">
        <f t="shared" si="2"/>
        <v>1842.8279900624448</v>
      </c>
      <c r="P21" s="909">
        <f xml:space="preserve"> SUM( I21:N21 )</f>
        <v>14801.484072277242</v>
      </c>
      <c r="R21" s="880"/>
    </row>
    <row r="22" spans="5:19" s="871" customFormat="1" ht="4.8" thickBot="1" x14ac:dyDescent="0.35">
      <c r="H22" s="884"/>
      <c r="I22" s="883"/>
      <c r="J22" s="883"/>
      <c r="K22" s="883"/>
      <c r="L22" s="883"/>
      <c r="M22" s="883"/>
      <c r="N22" s="883"/>
      <c r="P22" s="883"/>
    </row>
    <row r="23" spans="5:19" s="104" customFormat="1" ht="14.4" x14ac:dyDescent="0.3">
      <c r="E23" s="872" t="s">
        <v>736</v>
      </c>
      <c r="G23" s="873"/>
      <c r="H23" s="915" t="s">
        <v>736</v>
      </c>
      <c r="I23" s="892">
        <f xml:space="preserve"> INDEX( SplitScreenStrip!$G$83:$Y$86, MATCH( $E23, SplitScreenStrip!$E$83:$E$86, 0 ), MATCH( "+"&amp;I$17, SplitScreenStrip!$G$82:$Y$82, 0 ) )</f>
        <v>0</v>
      </c>
      <c r="J23" s="893">
        <f xml:space="preserve"> INDEX( SplitScreenStrip!$G$83:$Y$86, MATCH( $E23, SplitScreenStrip!$E$83:$E$86, 0 ), MATCH( "+"&amp;J$17, SplitScreenStrip!$G$82:$Y$82, 0 ) )</f>
        <v>182.60826032451152</v>
      </c>
      <c r="K23" s="893">
        <f xml:space="preserve"> INDEX( SplitScreenStrip!$G$83:$Y$86, MATCH( $E23, SplitScreenStrip!$E$83:$E$86, 0 ), MATCH( "+"&amp;K$17, SplitScreenStrip!$G$82:$Y$82, 0 ) )</f>
        <v>145.74738422937918</v>
      </c>
      <c r="L23" s="893">
        <f xml:space="preserve"> INDEX( SplitScreenStrip!$G$83:$Y$86, MATCH( $E23, SplitScreenStrip!$E$83:$E$86, 0 ), MATCH( "+"&amp;L$17, SplitScreenStrip!$G$82:$Y$82, 0 ) )</f>
        <v>109.05359499281987</v>
      </c>
      <c r="M23" s="893">
        <f xml:space="preserve"> INDEX( SplitScreenStrip!$G$83:$Y$86, MATCH( $E23, SplitScreenStrip!$E$83:$E$86, 0 ), MATCH( "+"&amp;M$17, SplitScreenStrip!$G$82:$Y$82, 0 ) )</f>
        <v>72.529398917712143</v>
      </c>
      <c r="N23" s="894">
        <f xml:space="preserve"> INDEX( SplitScreenStrip!$G$83:$Y$86, MATCH( $E23, SplitScreenStrip!$E$83:$E$86, 0 ), MATCH( "+"&amp;N$17, SplitScreenStrip!$G$82:$Y$82, 0 ) )</f>
        <v>36.177339901477829</v>
      </c>
      <c r="P23" s="901">
        <f xml:space="preserve"> SUM( I23:N23 )</f>
        <v>546.11597836590045</v>
      </c>
    </row>
    <row r="24" spans="5:19" s="104" customFormat="1" ht="15" thickBot="1" x14ac:dyDescent="0.35">
      <c r="E24" s="872" t="s">
        <v>737</v>
      </c>
      <c r="G24" s="874"/>
      <c r="H24" s="916" t="s">
        <v>737</v>
      </c>
      <c r="I24" s="895">
        <f xml:space="preserve"> INDEX( SplitScreenStrip!$G$83:$Y$86, MATCH( $E24, SplitScreenStrip!$E$83:$E$86, 0 ), MATCH( "+"&amp;I$17, SplitScreenStrip!$G$82:$Y$82, 0 ) )</f>
        <v>0</v>
      </c>
      <c r="J24" s="896">
        <f xml:space="preserve"> INDEX( SplitScreenStrip!$G$83:$Y$86, MATCH( $E24, SplitScreenStrip!$E$83:$E$86, 0 ), MATCH( "+"&amp;J$17, SplitScreenStrip!$G$82:$Y$82, 0 ) )</f>
        <v>3606.6833544700121</v>
      </c>
      <c r="K24" s="896">
        <f xml:space="preserve"> INDEX( SplitScreenStrip!$G$83:$Y$86, MATCH( $E24, SplitScreenStrip!$E$83:$E$86, 0 ), MATCH( "+"&amp;K$17, SplitScreenStrip!$G$82:$Y$82, 0 ) )</f>
        <v>3319.6072624477601</v>
      </c>
      <c r="L24" s="896">
        <f xml:space="preserve"> INDEX( SplitScreenStrip!$G$83:$Y$86, MATCH( $E24, SplitScreenStrip!$E$83:$E$86, 0 ), MATCH( "+"&amp;L$17, SplitScreenStrip!$G$82:$Y$82, 0 ) )</f>
        <v>3006.7690214103454</v>
      </c>
      <c r="M24" s="896">
        <f xml:space="preserve"> INDEX( SplitScreenStrip!$G$83:$Y$86, MATCH( $E24, SplitScreenStrip!$E$83:$E$86, 0 ), MATCH( "+"&amp;M$17, SplitScreenStrip!$G$82:$Y$82, 0 ) )</f>
        <v>2515.6578054222568</v>
      </c>
      <c r="N24" s="897">
        <f xml:space="preserve"> INDEX( SplitScreenStrip!$G$83:$Y$86, MATCH( $E24, SplitScreenStrip!$E$83:$E$86, 0 ), MATCH( "+"&amp;N$17, SplitScreenStrip!$G$82:$Y$82, 0 ) )</f>
        <v>1806.650650160967</v>
      </c>
      <c r="P24" s="902">
        <f xml:space="preserve"> SUM( I24:N24 )</f>
        <v>14255.368093911342</v>
      </c>
    </row>
    <row r="25" spans="5:19" s="104" customFormat="1" ht="15" thickBot="1" x14ac:dyDescent="0.35">
      <c r="G25" s="873"/>
      <c r="H25" s="914" t="s">
        <v>738</v>
      </c>
      <c r="I25" s="911">
        <f t="shared" ref="I25:N25" si="3" xml:space="preserve"> SUM( I23:I24 )</f>
        <v>0</v>
      </c>
      <c r="J25" s="912">
        <f t="shared" si="3"/>
        <v>3789.2916147945234</v>
      </c>
      <c r="K25" s="912">
        <f t="shared" si="3"/>
        <v>3465.3546466771395</v>
      </c>
      <c r="L25" s="912">
        <f t="shared" si="3"/>
        <v>3115.8226164031653</v>
      </c>
      <c r="M25" s="912">
        <f t="shared" si="3"/>
        <v>2588.187204339969</v>
      </c>
      <c r="N25" s="913">
        <f t="shared" si="3"/>
        <v>1842.8279900624448</v>
      </c>
      <c r="P25" s="909">
        <f xml:space="preserve"> SUM( I25:N25 )</f>
        <v>14801.484072277242</v>
      </c>
      <c r="Q25" s="876"/>
      <c r="R25" s="752" t="s">
        <v>653</v>
      </c>
      <c r="S25" s="750" t="str">
        <f xml:space="preserve"> IF( ABS(P25-P21) &lt; 10^-8, "ok", "ERR" )</f>
        <v>ok</v>
      </c>
    </row>
    <row r="26" spans="5:19" s="104" customFormat="1" ht="13.8" thickBot="1" x14ac:dyDescent="0.35"/>
    <row r="27" spans="5:19" s="104" customFormat="1" ht="17.399999999999999" thickBot="1" x14ac:dyDescent="0.35">
      <c r="G27" s="870" t="s">
        <v>632</v>
      </c>
      <c r="I27" s="917" t="s">
        <v>739</v>
      </c>
      <c r="J27" s="918" t="s">
        <v>740</v>
      </c>
      <c r="K27" s="918" t="s">
        <v>741</v>
      </c>
      <c r="L27" s="918" t="s">
        <v>742</v>
      </c>
      <c r="M27" s="918" t="s">
        <v>743</v>
      </c>
      <c r="N27" s="919" t="s">
        <v>744</v>
      </c>
      <c r="P27" s="920" t="s">
        <v>745</v>
      </c>
    </row>
    <row r="28" spans="5:19" s="871" customFormat="1" ht="4.8" thickBot="1" x14ac:dyDescent="0.35">
      <c r="I28" s="883"/>
      <c r="J28" s="883"/>
      <c r="K28" s="883"/>
      <c r="L28" s="883"/>
      <c r="M28" s="883"/>
      <c r="N28" s="883"/>
      <c r="P28" s="883"/>
    </row>
    <row r="29" spans="5:19" s="104" customFormat="1" ht="14.4" x14ac:dyDescent="0.3">
      <c r="F29" s="872" t="s">
        <v>746</v>
      </c>
      <c r="G29" s="873"/>
      <c r="H29" s="927" t="s">
        <v>747</v>
      </c>
      <c r="I29" s="892">
        <f xml:space="preserve"> (-1) * INDEX( SplitScreenStrip!$G$83:$Y$86, MATCH( $F29, SplitScreenStrip!$F$83:$F$86, 0 ), MATCH( "–"&amp;I$27, SplitScreenStrip!$G$82:$Y$82, 0 ) )</f>
        <v>-25497.512523568803</v>
      </c>
      <c r="J29" s="893">
        <f xml:space="preserve"> (-1) * INDEX( SplitScreenStrip!$G$83:$Y$86, MATCH( $F29, SplitScreenStrip!$F$83:$F$86, 0 ), MATCH( "–"&amp;J$27, SplitScreenStrip!$G$82:$Y$82, 0 ) )</f>
        <v>6203.8921232876673</v>
      </c>
      <c r="K29" s="893">
        <f xml:space="preserve"> (-1) * INDEX( SplitScreenStrip!$G$83:$Y$86, MATCH( $F29, SplitScreenStrip!$F$83:$F$86, 0 ), MATCH( "–"&amp;K$27, SplitScreenStrip!$G$82:$Y$82, 0 ) )</f>
        <v>5996.8252089041116</v>
      </c>
      <c r="L29" s="893">
        <f xml:space="preserve"> (-1) * INDEX( SplitScreenStrip!$G$83:$Y$86, MATCH( $F29, SplitScreenStrip!$F$83:$F$86, 0 ), MATCH( "–"&amp;L$27, SplitScreenStrip!$G$82:$Y$82, 0 ) )</f>
        <v>6853.6678337465801</v>
      </c>
      <c r="M29" s="893">
        <f xml:space="preserve"> (-1) * INDEX( SplitScreenStrip!$G$83:$Y$86, MATCH( $F29, SplitScreenStrip!$F$83:$F$86, 0 ), MATCH( "–"&amp;M$27, SplitScreenStrip!$G$82:$Y$82, 0 ) )</f>
        <v>7793.8466063642281</v>
      </c>
      <c r="N29" s="894">
        <f xml:space="preserve"> (-1) * INDEX( SplitScreenStrip!$G$83:$Y$86, MATCH( $F29, SplitScreenStrip!$F$83:$F$86, 0 ), MATCH( "–"&amp;N$27, SplitScreenStrip!$G$82:$Y$82, 0 ) )</f>
        <v>13286.638132654705</v>
      </c>
      <c r="P29" s="901">
        <f xml:space="preserve"> SUM( I29:N29 )</f>
        <v>14637.35738138849</v>
      </c>
    </row>
    <row r="30" spans="5:19" s="104" customFormat="1" ht="15" thickBot="1" x14ac:dyDescent="0.35">
      <c r="F30" s="872" t="s">
        <v>748</v>
      </c>
      <c r="G30" s="874"/>
      <c r="H30" s="928" t="s">
        <v>749</v>
      </c>
      <c r="I30" s="895">
        <f xml:space="preserve"> (-1) * INDEX( SplitScreenStrip!$G$83:$Y$86, MATCH( $F30, SplitScreenStrip!$F$83:$F$86, 0 ), MATCH( "–"&amp;I$27, SplitScreenStrip!$G$82:$Y$82, 0 ) )</f>
        <v>3533.5263740797186</v>
      </c>
      <c r="J30" s="896">
        <f xml:space="preserve"> (-1) * INDEX( SplitScreenStrip!$G$83:$Y$86, MATCH( $F30, SplitScreenStrip!$F$83:$F$86, 0 ), MATCH( "–"&amp;J$27, SplitScreenStrip!$G$82:$Y$82, 0 ) )</f>
        <v>-3330.6171232876673</v>
      </c>
      <c r="K30" s="896">
        <f xml:space="preserve"> (-1) * INDEX( SplitScreenStrip!$G$83:$Y$86, MATCH( $F30, SplitScreenStrip!$F$83:$F$86, 0 ), MATCH( "–"&amp;K$27, SplitScreenStrip!$G$82:$Y$82, 0 ) )</f>
        <v>-2985.5011739726046</v>
      </c>
      <c r="L30" s="896">
        <f xml:space="preserve"> (-1) * INDEX( SplitScreenStrip!$G$83:$Y$86, MATCH( $F30, SplitScreenStrip!$F$83:$F$86, 0 ), MATCH( "–"&amp;L$27, SplitScreenStrip!$G$82:$Y$82, 0 ) )</f>
        <v>-3688.4194438328814</v>
      </c>
      <c r="M30" s="896">
        <f xml:space="preserve"> (-1) * INDEX( SplitScreenStrip!$G$83:$Y$86, MATCH( $F30, SplitScreenStrip!$F$83:$F$86, 0 ), MATCH( "–"&amp;M$27, SplitScreenStrip!$G$82:$Y$82, 0 ) )</f>
        <v>-4453.4735386492721</v>
      </c>
      <c r="N30" s="897">
        <f xml:space="preserve"> (-1) * INDEX( SplitScreenStrip!$G$83:$Y$86, MATCH( $F30, SplitScreenStrip!$F$83:$F$86, 0 ), MATCH( "–"&amp;N$27, SplitScreenStrip!$G$82:$Y$82, 0 ) )</f>
        <v>11088.611596551451</v>
      </c>
      <c r="P30" s="902">
        <f xml:space="preserve"> SUM( I30:N30 )</f>
        <v>164.12669088874463</v>
      </c>
    </row>
    <row r="31" spans="5:19" s="104" customFormat="1" ht="15" thickBot="1" x14ac:dyDescent="0.35">
      <c r="G31" s="873"/>
      <c r="H31" s="926" t="s">
        <v>750</v>
      </c>
      <c r="I31" s="923">
        <f t="shared" ref="I31:N31" si="4" xml:space="preserve"> SUM( I29:I30 )</f>
        <v>-21963.986149489083</v>
      </c>
      <c r="J31" s="924">
        <f t="shared" si="4"/>
        <v>2873.2750000000001</v>
      </c>
      <c r="K31" s="924">
        <f t="shared" si="4"/>
        <v>3011.324034931507</v>
      </c>
      <c r="L31" s="924">
        <f t="shared" si="4"/>
        <v>3165.2483899136987</v>
      </c>
      <c r="M31" s="924">
        <f t="shared" si="4"/>
        <v>3340.3730677149561</v>
      </c>
      <c r="N31" s="925">
        <f t="shared" si="4"/>
        <v>24375.249729206156</v>
      </c>
      <c r="P31" s="921">
        <f xml:space="preserve"> SUM( I31:N31 )</f>
        <v>14801.484072277237</v>
      </c>
    </row>
    <row r="32" spans="5:19" s="871" customFormat="1" ht="4.8" thickBot="1" x14ac:dyDescent="0.35">
      <c r="H32" s="884"/>
      <c r="I32" s="883"/>
      <c r="J32" s="883"/>
      <c r="K32" s="883"/>
      <c r="L32" s="883"/>
      <c r="M32" s="883"/>
      <c r="N32" s="883"/>
      <c r="P32" s="883"/>
    </row>
    <row r="33" spans="3:24" s="104" customFormat="1" ht="14.4" x14ac:dyDescent="0.3">
      <c r="F33" s="872" t="s">
        <v>751</v>
      </c>
      <c r="G33" s="873"/>
      <c r="H33" s="927" t="s">
        <v>752</v>
      </c>
      <c r="I33" s="892">
        <f xml:space="preserve"> (-1) * INDEX( SplitScreenStrip!$G$83:$Y$86, MATCH( $F33, SplitScreenStrip!$F$83:$F$86, 0 ), MATCH( "–"&amp;I$27, SplitScreenStrip!$G$82:$Y$82, 0 ) )</f>
        <v>-12173.884021634101</v>
      </c>
      <c r="J33" s="893">
        <f xml:space="preserve"> (-1) * INDEX( SplitScreenStrip!$G$83:$Y$86, MATCH( $F33, SplitScreenStrip!$F$83:$F$86, 0 ), MATCH( "–"&amp;J$27, SplitScreenStrip!$G$82:$Y$82, 0 ) )</f>
        <v>2640</v>
      </c>
      <c r="K33" s="893">
        <f xml:space="preserve"> (-1) * INDEX( SplitScreenStrip!$G$83:$Y$86, MATCH( $F33, SplitScreenStrip!$F$83:$F$86, 0 ), MATCH( "–"&amp;K$27, SplitScreenStrip!$G$82:$Y$82, 0 ) )</f>
        <v>2592</v>
      </c>
      <c r="L33" s="893">
        <f xml:space="preserve"> (-1) * INDEX( SplitScreenStrip!$G$83:$Y$86, MATCH( $F33, SplitScreenStrip!$F$83:$F$86, 0 ), MATCH( "–"&amp;L$27, SplitScreenStrip!$G$82:$Y$82, 0 ) )</f>
        <v>2544</v>
      </c>
      <c r="M33" s="893">
        <f xml:space="preserve"> (-1) * INDEX( SplitScreenStrip!$G$83:$Y$86, MATCH( $F33, SplitScreenStrip!$F$83:$F$86, 0 ), MATCH( "–"&amp;M$27, SplitScreenStrip!$G$82:$Y$82, 0 ) )</f>
        <v>2496</v>
      </c>
      <c r="N33" s="894">
        <f xml:space="preserve"> (-1) * INDEX( SplitScreenStrip!$G$83:$Y$86, MATCH( $F33, SplitScreenStrip!$F$83:$F$86, 0 ), MATCH( "–"&amp;N$27, SplitScreenStrip!$G$82:$Y$82, 0 ) )</f>
        <v>2448</v>
      </c>
      <c r="P33" s="901">
        <f xml:space="preserve"> SUM( I33:N33 )</f>
        <v>546.11597836589863</v>
      </c>
    </row>
    <row r="34" spans="3:24" s="104" customFormat="1" ht="15" thickBot="1" x14ac:dyDescent="0.35">
      <c r="F34" s="872" t="s">
        <v>753</v>
      </c>
      <c r="G34" s="874"/>
      <c r="H34" s="928" t="s">
        <v>754</v>
      </c>
      <c r="I34" s="895">
        <f xml:space="preserve"> (-1) * INDEX( SplitScreenStrip!$G$83:$Y$86, MATCH( $F34, SplitScreenStrip!$F$83:$F$86, 0 ), MATCH( "–"&amp;I$27, SplitScreenStrip!$G$82:$Y$82, 0 ) )</f>
        <v>-9790.1021278549815</v>
      </c>
      <c r="J34" s="896">
        <f xml:space="preserve"> (-1) * INDEX( SplitScreenStrip!$G$83:$Y$86, MATCH( $F34, SplitScreenStrip!$F$83:$F$86, 0 ), MATCH( "–"&amp;J$27, SplitScreenStrip!$G$82:$Y$82, 0 ) )</f>
        <v>233.27500000000009</v>
      </c>
      <c r="K34" s="896">
        <f xml:space="preserve"> (-1) * INDEX( SplitScreenStrip!$G$83:$Y$86, MATCH( $F34, SplitScreenStrip!$F$83:$F$86, 0 ), MATCH( "–"&amp;K$27, SplitScreenStrip!$G$82:$Y$82, 0 ) )</f>
        <v>419.32403493150696</v>
      </c>
      <c r="L34" s="896">
        <f xml:space="preserve"> (-1) * INDEX( SplitScreenStrip!$G$83:$Y$86, MATCH( $F34, SplitScreenStrip!$F$83:$F$86, 0 ), MATCH( "–"&amp;L$27, SplitScreenStrip!$G$82:$Y$82, 0 ) )</f>
        <v>621.2483899136987</v>
      </c>
      <c r="M34" s="896">
        <f xml:space="preserve"> (-1) * INDEX( SplitScreenStrip!$G$83:$Y$86, MATCH( $F34, SplitScreenStrip!$F$83:$F$86, 0 ), MATCH( "–"&amp;M$27, SplitScreenStrip!$G$82:$Y$82, 0 ) )</f>
        <v>844.37306771495605</v>
      </c>
      <c r="N34" s="897">
        <f xml:space="preserve"> (-1) * INDEX( SplitScreenStrip!$G$83:$Y$86, MATCH( $F34, SplitScreenStrip!$F$83:$F$86, 0 ), MATCH( "–"&amp;N$27, SplitScreenStrip!$G$82:$Y$82, 0 ) )</f>
        <v>21927.249729206156</v>
      </c>
      <c r="P34" s="902">
        <f xml:space="preserve"> SUM( I34:N34 )</f>
        <v>14255.368093911336</v>
      </c>
    </row>
    <row r="35" spans="3:24" s="104" customFormat="1" ht="15" thickBot="1" x14ac:dyDescent="0.35">
      <c r="G35" s="873"/>
      <c r="H35" s="922" t="s">
        <v>755</v>
      </c>
      <c r="I35" s="923">
        <f t="shared" ref="I35:N35" si="5" xml:space="preserve"> SUM( I33:I34 )</f>
        <v>-21963.986149489083</v>
      </c>
      <c r="J35" s="924">
        <f t="shared" si="5"/>
        <v>2873.2750000000001</v>
      </c>
      <c r="K35" s="924">
        <f t="shared" si="5"/>
        <v>3011.324034931507</v>
      </c>
      <c r="L35" s="924">
        <f t="shared" si="5"/>
        <v>3165.2483899136987</v>
      </c>
      <c r="M35" s="924">
        <f t="shared" si="5"/>
        <v>3340.3730677149561</v>
      </c>
      <c r="N35" s="925">
        <f t="shared" si="5"/>
        <v>24375.249729206156</v>
      </c>
      <c r="P35" s="921">
        <f xml:space="preserve"> SUM( I35:N35 )</f>
        <v>14801.484072277237</v>
      </c>
      <c r="Q35" s="876"/>
      <c r="R35" s="752" t="s">
        <v>654</v>
      </c>
      <c r="S35" s="750" t="str">
        <f xml:space="preserve"> IF( ABS(P35-P31) &lt; 10^-8, "ok", "ERR" )</f>
        <v>ok</v>
      </c>
    </row>
    <row r="38" spans="3:24" ht="14.4" x14ac:dyDescent="0.3">
      <c r="G38" s="781" t="s">
        <v>658</v>
      </c>
      <c r="H38" s="754">
        <f xml:space="preserve"> Assumptions!$I$27</f>
        <v>0.15</v>
      </c>
      <c r="I38" s="792"/>
      <c r="J38" s="793"/>
      <c r="K38" s="793"/>
      <c r="L38" s="793"/>
      <c r="M38" s="793"/>
      <c r="N38" s="793"/>
    </row>
    <row r="39" spans="3:24" ht="16.2" x14ac:dyDescent="0.3">
      <c r="G39" s="781" t="s">
        <v>659</v>
      </c>
      <c r="H39" s="754">
        <f xml:space="preserve"> Assumptions!$I$28</f>
        <v>0.01</v>
      </c>
      <c r="I39" s="792"/>
      <c r="J39" s="793"/>
      <c r="K39" s="793"/>
      <c r="L39" s="793"/>
      <c r="M39" s="793"/>
      <c r="N39" s="793"/>
    </row>
    <row r="40" spans="3:24" ht="16.2" x14ac:dyDescent="0.3">
      <c r="G40" s="781" t="s">
        <v>660</v>
      </c>
      <c r="H40" s="754">
        <f xml:space="preserve"> Assumptions!$I$29</f>
        <v>1.4999999999999999E-2</v>
      </c>
      <c r="I40" s="792"/>
      <c r="J40" s="793"/>
      <c r="K40" s="793"/>
      <c r="L40" s="793"/>
      <c r="M40" s="793"/>
      <c r="N40" s="793"/>
    </row>
    <row r="41" spans="3:24" ht="14.4" x14ac:dyDescent="0.3">
      <c r="G41" s="726"/>
      <c r="H41" s="993" t="s">
        <v>884</v>
      </c>
      <c r="I41" s="994">
        <v>0</v>
      </c>
      <c r="J41" s="995">
        <v>1</v>
      </c>
      <c r="K41" s="995">
        <v>2</v>
      </c>
      <c r="L41" s="995">
        <v>3</v>
      </c>
      <c r="M41" s="995">
        <v>4</v>
      </c>
      <c r="N41" s="995">
        <v>5</v>
      </c>
    </row>
    <row r="42" spans="3:24" ht="17.25" customHeight="1" x14ac:dyDescent="0.3">
      <c r="C42" s="740"/>
      <c r="D42" s="740"/>
      <c r="E42" s="740"/>
      <c r="F42" s="740"/>
      <c r="G42" s="771" t="s">
        <v>862</v>
      </c>
      <c r="H42" s="742"/>
      <c r="I42" s="744"/>
      <c r="J42" s="743">
        <f xml:space="preserve"> (  J14 + J34 - I14 )  / I14</f>
        <v>0.36840099391897113</v>
      </c>
      <c r="K42" s="743">
        <f xml:space="preserve"> (  K14 + K34 - J14 )  / J14</f>
        <v>0.25218252128906543</v>
      </c>
      <c r="L42" s="743">
        <f xml:space="preserve"> (  L14 + L34 - K14 )  / K14</f>
        <v>0.18717677005328387</v>
      </c>
      <c r="M42" s="743">
        <f xml:space="preserve"> (  M14 + M34 - L14 )  / L14</f>
        <v>0.13635508392773318</v>
      </c>
      <c r="N42" s="743">
        <f xml:space="preserve"> (  N14 + N34 - M14 )  / M14</f>
        <v>8.9791096331844358E-2</v>
      </c>
      <c r="O42" s="740"/>
      <c r="P42" s="740"/>
      <c r="Q42" s="740"/>
      <c r="R42" s="740"/>
      <c r="S42" s="740"/>
      <c r="T42" s="740"/>
      <c r="U42" s="740"/>
      <c r="V42" s="740"/>
      <c r="W42" s="740"/>
      <c r="X42" s="740"/>
    </row>
    <row r="43" spans="3:24" ht="17.25" customHeight="1" x14ac:dyDescent="0.3">
      <c r="C43" s="740"/>
      <c r="D43" s="740"/>
      <c r="E43" s="740"/>
      <c r="F43" s="740"/>
      <c r="G43" s="771" t="s">
        <v>863</v>
      </c>
      <c r="H43" s="742"/>
      <c r="I43" s="744"/>
      <c r="J43" s="743">
        <f xml:space="preserve"> ( $H$38 * I9 + $H$39 * I10 - $H$40 * I13 ) / ( I9 + I10 - I13 )</f>
        <v>0.36840099391897141</v>
      </c>
      <c r="K43" s="743">
        <f xml:space="preserve"> ( $H$38 * J9 + $H$39 * J10 - $H$40 * J13 ) / ( J9 + J10 - J13 )</f>
        <v>0.2521825212890656</v>
      </c>
      <c r="L43" s="743">
        <f xml:space="preserve"> ( $H$38 * K9 + $H$39 * K10 - $H$40 * K13 ) / ( K9 + K10 - K13 )</f>
        <v>0.18717677005328406</v>
      </c>
      <c r="M43" s="743">
        <f xml:space="preserve"> ( $H$38 * L9 + $H$39 * L10 - $H$40 * L13 ) / ( L9 + L10 - L13 )</f>
        <v>0.13635508392773305</v>
      </c>
      <c r="N43" s="743">
        <f xml:space="preserve"> ( $H$38 * M9 + $H$39 * M10 - $H$40 * M13 ) / ( M9 + M10 - M13 )</f>
        <v>8.9791096331844428E-2</v>
      </c>
      <c r="O43" s="740"/>
      <c r="P43" s="740"/>
      <c r="Q43" s="740"/>
      <c r="R43" s="740"/>
      <c r="S43" s="740"/>
      <c r="T43" s="740"/>
      <c r="U43" s="740"/>
      <c r="V43" s="740"/>
      <c r="W43" s="740"/>
      <c r="X43" s="740"/>
    </row>
    <row r="44" spans="3:24" x14ac:dyDescent="0.3">
      <c r="G44" s="828" t="str">
        <f xml:space="preserve"> ValueCreation!E$61</f>
        <v>Tax shield NPV</v>
      </c>
      <c r="H44" s="808"/>
      <c r="I44" s="763"/>
      <c r="J44" s="763">
        <f xml:space="preserve"> ValueCreation!L$58</f>
        <v>100.125</v>
      </c>
      <c r="K44" s="763">
        <f xml:space="preserve"> ValueCreation!M$58</f>
        <v>61.448496575342496</v>
      </c>
      <c r="L44" s="763">
        <f xml:space="preserve"> ValueCreation!N$58</f>
        <v>24.753450184931523</v>
      </c>
      <c r="M44" s="763">
        <f xml:space="preserve"> ValueCreation!O$58</f>
        <v>-17.770859389191802</v>
      </c>
      <c r="N44" s="763">
        <f xml:space="preserve"> ValueCreation!P$58</f>
        <v>-66.736182413791127</v>
      </c>
    </row>
    <row r="45" spans="3:24" ht="30.6" thickBot="1" x14ac:dyDescent="0.35">
      <c r="C45" s="740"/>
      <c r="D45" s="740"/>
      <c r="E45" s="740"/>
      <c r="F45" s="740"/>
      <c r="G45" s="794" t="s">
        <v>864</v>
      </c>
      <c r="H45" s="745"/>
      <c r="I45" s="746"/>
      <c r="J45" s="747">
        <f xml:space="preserve">  ( J57 * I9 + $H$39 * I10 - $H$40 * I13 + J44 ) / ( I9 +  I10 - I13 )</f>
        <v>0.36840099391897141</v>
      </c>
      <c r="K45" s="747">
        <f xml:space="preserve">  ( K57 * J9 + $H$39 * J10 - $H$40 * J13 + K44 ) / ( J9 +  J10 - J13 )</f>
        <v>0.2521825212890656</v>
      </c>
      <c r="L45" s="747">
        <f xml:space="preserve">  ( L57 * K9 + $H$39 * K10 - $H$40 * K13 + L44 ) / ( K9 +  K10 - K13 )</f>
        <v>0.18717677005328404</v>
      </c>
      <c r="M45" s="747">
        <f xml:space="preserve">  ( M57 * L9 + $H$39 * L10 - $H$40 * L13 + M44 ) / ( L9 +  L10 - L13 )</f>
        <v>0.13635508392773307</v>
      </c>
      <c r="N45" s="747">
        <f xml:space="preserve">  ( N57 * M9 + $H$39 * M10 - $H$40 * M13 + N44 ) / ( M9 +  M10 - M13 )</f>
        <v>8.9791096331844428E-2</v>
      </c>
      <c r="O45" s="740"/>
      <c r="P45" s="740"/>
      <c r="Q45" s="740"/>
      <c r="R45" s="740"/>
      <c r="S45" s="740"/>
      <c r="T45" s="740"/>
      <c r="U45" s="740"/>
      <c r="V45" s="740"/>
      <c r="W45" s="740"/>
      <c r="X45" s="740"/>
    </row>
    <row r="46" spans="3:24" ht="15" thickBot="1" x14ac:dyDescent="0.35">
      <c r="C46" s="740"/>
      <c r="D46" s="740"/>
      <c r="E46" s="740"/>
      <c r="F46" s="740"/>
      <c r="G46" s="752" t="s">
        <v>661</v>
      </c>
      <c r="H46" s="748"/>
      <c r="I46" s="749"/>
      <c r="J46" s="750" t="str">
        <f xml:space="preserve"> IF( AND( ABS(J43-J42) &lt; 10^-8, ABS(J45-J43) &lt; 10^-8 ), "ok", "ERR" )</f>
        <v>ok</v>
      </c>
      <c r="K46" s="750" t="str">
        <f xml:space="preserve"> IF( AND( ABS(K43-K42) &lt; 10^-8, ABS(K45-K43) &lt; 10^-8 ), "ok", "ERR" )</f>
        <v>ok</v>
      </c>
      <c r="L46" s="750" t="str">
        <f xml:space="preserve"> IF( AND( ABS(L43-L42) &lt; 10^-8, ABS(L45-L43) &lt; 10^-8 ), "ok", "ERR" )</f>
        <v>ok</v>
      </c>
      <c r="M46" s="750" t="str">
        <f xml:space="preserve"> IF( AND( ABS(M43-M42) &lt; 10^-8, ABS(M45-M43) &lt; 10^-8 ), "ok", "ERR" )</f>
        <v>ok</v>
      </c>
      <c r="N46" s="750" t="str">
        <f xml:space="preserve"> IF( AND( ABS(N43-N42) &lt; 10^-8, ABS(N45-N43) &lt; 10^-8 ), "ok", "ERR" )</f>
        <v>ok</v>
      </c>
      <c r="O46" s="740"/>
      <c r="P46" s="740"/>
      <c r="Q46" s="740"/>
      <c r="R46" s="740"/>
      <c r="S46" s="740"/>
      <c r="T46" s="740"/>
      <c r="U46" s="740"/>
      <c r="V46" s="740"/>
      <c r="W46" s="740"/>
      <c r="X46" s="740"/>
    </row>
    <row r="47" spans="3:24" s="38" customFormat="1" ht="6.6" x14ac:dyDescent="0.15">
      <c r="G47" s="830"/>
      <c r="H47" s="831"/>
      <c r="I47" s="831"/>
      <c r="J47" s="832"/>
      <c r="K47" s="832"/>
      <c r="L47" s="832"/>
      <c r="M47" s="832"/>
      <c r="N47" s="832"/>
    </row>
    <row r="48" spans="3:24" ht="17.25" customHeight="1" x14ac:dyDescent="0.3">
      <c r="C48" s="740"/>
      <c r="D48" s="740"/>
      <c r="E48" s="740"/>
      <c r="F48" s="740"/>
      <c r="G48" s="771" t="s">
        <v>865</v>
      </c>
      <c r="H48" s="742"/>
      <c r="I48" s="744"/>
      <c r="J48" s="743">
        <f xml:space="preserve"> ( J45 * I14 + $H$40 * I13 ) /  (  I14 + I13 )</f>
        <v>0.17252294683689137</v>
      </c>
      <c r="K48" s="743">
        <f xml:space="preserve"> ( K45 * J14 + $H$40 * J13 ) /  (  J14 + J13 )</f>
        <v>0.15145778968552687</v>
      </c>
      <c r="L48" s="743">
        <f xml:space="preserve"> ( L45 * K14 + $H$40 * K13 ) /  (  K14 + K13 )</f>
        <v>0.13353124880690412</v>
      </c>
      <c r="M48" s="743">
        <f xml:space="preserve"> ( M45 * L14 + $H$40 * L13 ) /  (  L14 + L13 )</f>
        <v>0.11115442650019169</v>
      </c>
      <c r="N48" s="743">
        <f xml:space="preserve"> ( N45 * M14 + $H$40 * M13 ) /  (  M14 + M13 )</f>
        <v>8.1785615918108442E-2</v>
      </c>
      <c r="O48" s="740"/>
      <c r="P48" s="740"/>
      <c r="Q48" s="740"/>
      <c r="R48" s="740"/>
      <c r="S48" s="740"/>
      <c r="T48" s="740"/>
      <c r="U48" s="740"/>
      <c r="V48" s="740"/>
      <c r="W48" s="740"/>
      <c r="X48" s="740"/>
    </row>
    <row r="49" spans="3:24" ht="17.25" customHeight="1" thickBot="1" x14ac:dyDescent="0.35">
      <c r="C49" s="740"/>
      <c r="D49" s="740"/>
      <c r="E49" s="740"/>
      <c r="F49" s="740"/>
      <c r="G49" s="771" t="s">
        <v>881</v>
      </c>
      <c r="H49" s="742"/>
      <c r="I49" s="744"/>
      <c r="J49" s="743">
        <f xml:space="preserve"> ( J11 + J31 - I11 ) / I11</f>
        <v>0.17252294683689129</v>
      </c>
      <c r="K49" s="743">
        <f xml:space="preserve"> ( K11 + K31 - J11 ) / J11</f>
        <v>0.15145778968552676</v>
      </c>
      <c r="L49" s="743">
        <f xml:space="preserve"> ( L11 + L31 - K11 ) / K11</f>
        <v>0.13353124880690417</v>
      </c>
      <c r="M49" s="743">
        <f xml:space="preserve"> ( M11 + M31 - L11 ) / L11</f>
        <v>0.11115442650019175</v>
      </c>
      <c r="N49" s="743">
        <f xml:space="preserve"> ( N11 + N31 - M11 ) / M11</f>
        <v>8.1785615918108401E-2</v>
      </c>
      <c r="O49" s="740"/>
      <c r="P49" s="740"/>
      <c r="Q49" s="740"/>
      <c r="R49" s="740"/>
      <c r="S49" s="740"/>
      <c r="T49" s="740"/>
      <c r="U49" s="740"/>
      <c r="V49" s="740"/>
      <c r="W49" s="740"/>
      <c r="X49" s="740"/>
    </row>
    <row r="50" spans="3:24" ht="15" thickBot="1" x14ac:dyDescent="0.35">
      <c r="G50" s="752" t="s">
        <v>665</v>
      </c>
      <c r="H50" s="748"/>
      <c r="I50" s="748"/>
      <c r="J50" s="750" t="str">
        <f xml:space="preserve"> IF( ABS(J49-J48) &lt; 10^-8, "ok", "ERR" )</f>
        <v>ok</v>
      </c>
      <c r="K50" s="750" t="str">
        <f xml:space="preserve"> IF( ABS(K49-K48) &lt; 10^-8, "ok", "ERR" )</f>
        <v>ok</v>
      </c>
      <c r="L50" s="750" t="str">
        <f xml:space="preserve"> IF( ABS(L49-L48) &lt; 10^-8, "ok", "ERR" )</f>
        <v>ok</v>
      </c>
      <c r="M50" s="750" t="str">
        <f xml:space="preserve"> IF( ABS(M49-M48) &lt; 10^-8, "ok", "ERR" )</f>
        <v>ok</v>
      </c>
      <c r="N50" s="750" t="str">
        <f xml:space="preserve"> IF( ABS(N49-N48) &lt; 10^-8, "ok", "ERR" )</f>
        <v>ok</v>
      </c>
    </row>
    <row r="51" spans="3:24" s="38" customFormat="1" ht="6.6" x14ac:dyDescent="0.15">
      <c r="G51" s="830"/>
      <c r="H51" s="831"/>
      <c r="I51" s="831"/>
      <c r="J51" s="832"/>
      <c r="K51" s="832"/>
      <c r="L51" s="832"/>
      <c r="M51" s="832"/>
      <c r="N51" s="832"/>
    </row>
    <row r="52" spans="3:24" ht="14.4" x14ac:dyDescent="0.3">
      <c r="G52" s="771" t="s">
        <v>866</v>
      </c>
      <c r="H52" s="742"/>
      <c r="I52" s="744"/>
      <c r="J52" s="743">
        <f xml:space="preserve"> ( J9 + J29 - I9 ) / I9</f>
        <v>0.14999999999999986</v>
      </c>
      <c r="K52" s="743">
        <f xml:space="preserve"> ( K9 + K29 - J9 ) / J9</f>
        <v>0.14999999999999991</v>
      </c>
      <c r="L52" s="743">
        <f xml:space="preserve"> ( L9 + L29 - K9 ) / K9</f>
        <v>0.14999999999999986</v>
      </c>
      <c r="M52" s="743">
        <f xml:space="preserve"> ( M9 + M29 - L9 ) / L9</f>
        <v>0.14999999999999997</v>
      </c>
      <c r="N52" s="743">
        <f xml:space="preserve"> ( N9 + N29 - M9 ) / M9</f>
        <v>0.14999999999999991</v>
      </c>
    </row>
    <row r="53" spans="3:24" ht="30.6" thickBot="1" x14ac:dyDescent="0.35">
      <c r="G53" s="772" t="s">
        <v>867</v>
      </c>
      <c r="H53"/>
      <c r="I53"/>
      <c r="J53" s="743">
        <f xml:space="preserve"> ( $H$40 * I13 + J43 * I14 - $H$39 * I10 )  / ( I13 + I14 - I10 )</f>
        <v>0.15</v>
      </c>
      <c r="K53" s="743">
        <f xml:space="preserve"> ( $H$40 * J13 + K43 * J14 - $H$39 * J10 )  / ( J13 + J14 - J10 )</f>
        <v>0.15</v>
      </c>
      <c r="L53" s="743">
        <f xml:space="preserve"> ( $H$40 * K13 + L43 * K14 - $H$39 * K10 )  / ( K13 + K14 - K10 )</f>
        <v>0.15</v>
      </c>
      <c r="M53" s="743">
        <f xml:space="preserve"> ( $H$40 * L13 + M43 * L14 - $H$39 * L10 )  / ( L13 + L14 - L10 )</f>
        <v>0.15</v>
      </c>
      <c r="N53" s="743">
        <f xml:space="preserve"> ( $H$40 * M13 + N43 * M14 - $H$39 * M10 )  / ( M13 + M14 - M10 )</f>
        <v>0.15</v>
      </c>
    </row>
    <row r="54" spans="3:24" ht="15" thickBot="1" x14ac:dyDescent="0.35">
      <c r="G54" s="752" t="s">
        <v>662</v>
      </c>
      <c r="H54" s="748"/>
      <c r="I54" s="748"/>
      <c r="J54" s="750" t="str">
        <f xml:space="preserve"> IF( ABS(J53-J52) &lt; 10^-8, "ok", "ERR" )</f>
        <v>ok</v>
      </c>
      <c r="K54" s="750" t="str">
        <f xml:space="preserve"> IF( ABS(K53-K52) &lt; 10^-8, "ok", "ERR" )</f>
        <v>ok</v>
      </c>
      <c r="L54" s="750" t="str">
        <f xml:space="preserve"> IF( ABS(L53-L52) &lt; 10^-8, "ok", "ERR" )</f>
        <v>ok</v>
      </c>
      <c r="M54" s="750" t="str">
        <f xml:space="preserve"> IF( ABS(M53-M52) &lt; 10^-8, "ok", "ERR" )</f>
        <v>ok</v>
      </c>
      <c r="N54" s="750" t="str">
        <f xml:space="preserve"> IF( ABS(N53-N52) &lt; 10^-8, "ok", "ERR" )</f>
        <v>ok</v>
      </c>
    </row>
    <row r="55" spans="3:24" s="38" customFormat="1" ht="6.6" x14ac:dyDescent="0.15">
      <c r="G55" s="830"/>
      <c r="H55" s="831"/>
      <c r="I55" s="831"/>
      <c r="J55" s="832"/>
      <c r="K55" s="832"/>
      <c r="L55" s="832"/>
      <c r="M55" s="832"/>
      <c r="N55" s="832"/>
    </row>
    <row r="56" spans="3:24" x14ac:dyDescent="0.3">
      <c r="G56" s="828" t="str">
        <f xml:space="preserve"> ValueCreation!E$61</f>
        <v>Tax shield NPV</v>
      </c>
      <c r="H56" s="808"/>
      <c r="I56" s="763"/>
      <c r="J56" s="763">
        <f xml:space="preserve"> ValueCreation!L$58</f>
        <v>100.125</v>
      </c>
      <c r="K56" s="763">
        <f xml:space="preserve"> ValueCreation!M$58</f>
        <v>61.448496575342496</v>
      </c>
      <c r="L56" s="763">
        <f xml:space="preserve"> ValueCreation!N$58</f>
        <v>24.753450184931523</v>
      </c>
      <c r="M56" s="763">
        <f xml:space="preserve"> ValueCreation!O$58</f>
        <v>-17.770859389191802</v>
      </c>
      <c r="N56" s="763">
        <f xml:space="preserve"> ValueCreation!P$58</f>
        <v>-66.736182413791127</v>
      </c>
    </row>
    <row r="57" spans="3:24" ht="14.4" x14ac:dyDescent="0.3">
      <c r="G57" s="966" t="s">
        <v>868</v>
      </c>
      <c r="H57" s="742"/>
      <c r="I57" s="744"/>
      <c r="J57" s="743">
        <f xml:space="preserve"> $H$38 - J56 / I9</f>
        <v>0.14607314635467092</v>
      </c>
      <c r="K57" s="743">
        <f t="shared" ref="K57:N57" si="6" xml:space="preserve"> $H$38 - K56 / J9</f>
        <v>0.14734199155177094</v>
      </c>
      <c r="L57" s="743">
        <f t="shared" si="6"/>
        <v>0.14879774351198682</v>
      </c>
      <c r="M57" s="743">
        <f t="shared" si="6"/>
        <v>0.15105628874075958</v>
      </c>
      <c r="N57" s="743">
        <f t="shared" si="6"/>
        <v>0.15577622488169063</v>
      </c>
    </row>
    <row r="58" spans="3:24" ht="15" thickBot="1" x14ac:dyDescent="0.35">
      <c r="G58" s="771" t="s">
        <v>869</v>
      </c>
      <c r="H58" s="742"/>
      <c r="I58" s="744"/>
      <c r="J58" s="743">
        <f xml:space="preserve"> ( J9 + J62 - I9 ) / I9</f>
        <v>0.14607314635467078</v>
      </c>
      <c r="K58" s="743">
        <f xml:space="preserve"> ( K9 + K62 - J9 ) / J9</f>
        <v>0.14734199155177083</v>
      </c>
      <c r="L58" s="743">
        <f xml:space="preserve"> ( L9 + L62 - K9 ) / K9</f>
        <v>0.1487977435119868</v>
      </c>
      <c r="M58" s="743">
        <f xml:space="preserve"> ( M9 + M62 - L9 ) / L9</f>
        <v>0.15105628874075949</v>
      </c>
      <c r="N58" s="743">
        <f xml:space="preserve"> ( N9 + N62 - M9 ) / M9</f>
        <v>0.1557762248816906</v>
      </c>
    </row>
    <row r="59" spans="3:24" ht="13.8" thickBot="1" x14ac:dyDescent="0.35">
      <c r="G59" s="752" t="s">
        <v>663</v>
      </c>
      <c r="H59" s="748"/>
      <c r="I59" s="748"/>
      <c r="J59" s="750" t="str">
        <f xml:space="preserve"> IF( ABS(J58-J57) &lt; 10^-8, "ok", "ERR" )</f>
        <v>ok</v>
      </c>
      <c r="K59" s="750" t="str">
        <f xml:space="preserve"> IF( ABS(K58-K57) &lt; 10^-8, "ok", "ERR" )</f>
        <v>ok</v>
      </c>
      <c r="L59" s="750" t="str">
        <f xml:space="preserve"> IF( ABS(L58-L57) &lt; 10^-8, "ok", "ERR" )</f>
        <v>ok</v>
      </c>
      <c r="M59" s="750" t="str">
        <f xml:space="preserve"> IF( ABS(M58-M57) &lt; 10^-8, "ok", "ERR" )</f>
        <v>ok</v>
      </c>
      <c r="N59" s="750" t="str">
        <f xml:space="preserve"> IF( ABS(N58-N57) &lt; 10^-8, "ok", "ERR" )</f>
        <v>ok</v>
      </c>
    </row>
    <row r="60" spans="3:24" s="38" customFormat="1" ht="6.6" x14ac:dyDescent="0.15">
      <c r="G60" s="830"/>
      <c r="H60" s="831"/>
      <c r="I60" s="831"/>
      <c r="J60" s="832"/>
      <c r="K60" s="832"/>
      <c r="L60" s="832"/>
      <c r="M60" s="832"/>
      <c r="N60" s="832"/>
    </row>
    <row r="61" spans="3:24" ht="17.25" customHeight="1" x14ac:dyDescent="0.3">
      <c r="C61" s="740"/>
      <c r="D61" s="740"/>
      <c r="E61" s="740"/>
      <c r="F61" s="740"/>
      <c r="G61" s="823" t="s">
        <v>634</v>
      </c>
      <c r="H61" s="767"/>
      <c r="I61" s="768"/>
      <c r="J61" s="769">
        <f xml:space="preserve"> J$57</f>
        <v>0.14607314635467092</v>
      </c>
      <c r="K61" s="769">
        <f xml:space="preserve"> K$57</f>
        <v>0.14734199155177094</v>
      </c>
      <c r="L61" s="769">
        <f xml:space="preserve"> L$57</f>
        <v>0.14879774351198682</v>
      </c>
      <c r="M61" s="769">
        <f xml:space="preserve"> M$57</f>
        <v>0.15105628874075958</v>
      </c>
      <c r="N61" s="769">
        <f xml:space="preserve"> N$57</f>
        <v>0.15577622488169063</v>
      </c>
      <c r="O61" s="740"/>
      <c r="P61" s="740"/>
      <c r="Q61" s="740"/>
      <c r="R61" s="740"/>
      <c r="S61" s="740"/>
      <c r="T61" s="740"/>
      <c r="U61" s="740"/>
      <c r="V61" s="740"/>
      <c r="W61" s="740"/>
      <c r="X61" s="740"/>
    </row>
    <row r="62" spans="3:24" x14ac:dyDescent="0.3">
      <c r="G62" s="825" t="s">
        <v>613</v>
      </c>
      <c r="H62" s="808"/>
      <c r="I62" s="763">
        <f xml:space="preserve"> ValueCreation!K$65</f>
        <v>-23750</v>
      </c>
      <c r="J62" s="763">
        <f xml:space="preserve"> ValueCreation!L$65</f>
        <v>6103.7671232876673</v>
      </c>
      <c r="K62" s="763">
        <f xml:space="preserve"> ValueCreation!M$65</f>
        <v>5935.3767123287689</v>
      </c>
      <c r="L62" s="763">
        <f xml:space="preserve"> ValueCreation!N$65</f>
        <v>6828.9143835616487</v>
      </c>
      <c r="M62" s="763">
        <f xml:space="preserve"> ValueCreation!O$65</f>
        <v>7811.6174657534202</v>
      </c>
      <c r="N62" s="763">
        <f xml:space="preserve"> ValueCreation!P$65</f>
        <v>13353.374315068497</v>
      </c>
    </row>
    <row r="63" spans="3:24" x14ac:dyDescent="0.3">
      <c r="G63" s="833" t="s">
        <v>628</v>
      </c>
      <c r="H63" s="762"/>
      <c r="I63" s="764">
        <f xml:space="preserve"> ( J63 + J62 ) / ( 1 + J61 )</f>
        <v>25497.512523568799</v>
      </c>
      <c r="J63" s="764">
        <f xml:space="preserve"> ( K63 + K62 ) / ( 1 + K61 )</f>
        <v>23118.247278816452</v>
      </c>
      <c r="K63" s="764">
        <f xml:space="preserve"> ( L63 + L62 ) / ( 1 + L61 )</f>
        <v>20589.159161734806</v>
      </c>
      <c r="L63" s="764">
        <f xml:space="preserve"> ( M63 + M62 ) / ( 1 + M61 )</f>
        <v>16823.865202248446</v>
      </c>
      <c r="M63" s="764">
        <f xml:space="preserve"> ( N63 + N62 ) / ( 1 + N61 )</f>
        <v>11553.598376221484</v>
      </c>
      <c r="N63" s="765">
        <v>0</v>
      </c>
    </row>
    <row r="64" spans="3:24" ht="14.4" x14ac:dyDescent="0.3">
      <c r="G64" s="761" t="s">
        <v>644</v>
      </c>
      <c r="H64" s="766">
        <f xml:space="preserve"> I63 + I62</f>
        <v>1747.5125235687992</v>
      </c>
    </row>
    <row r="65" spans="3:24" ht="15" thickBot="1" x14ac:dyDescent="0.35">
      <c r="G65" s="795" t="s">
        <v>693</v>
      </c>
      <c r="H65" s="763">
        <f xml:space="preserve"> ValueCreation!$J$42</f>
        <v>1747.512523568796</v>
      </c>
    </row>
    <row r="66" spans="3:24" ht="13.8" thickBot="1" x14ac:dyDescent="0.35">
      <c r="G66" s="752" t="s">
        <v>664</v>
      </c>
      <c r="H66" s="750" t="str">
        <f xml:space="preserve"> IF( ABS(H65-H64) &lt; 10^-8, "ok", "ERR" )</f>
        <v>ok</v>
      </c>
      <c r="I66" s="729"/>
      <c r="J66" s="729"/>
      <c r="K66" s="729"/>
      <c r="L66" s="729"/>
      <c r="M66" s="729"/>
      <c r="N66" s="755"/>
      <c r="O66" s="756"/>
      <c r="P66" s="757"/>
      <c r="Q66" s="758"/>
      <c r="S66" s="756"/>
    </row>
    <row r="67" spans="3:24" s="38" customFormat="1" ht="6.6" x14ac:dyDescent="0.15">
      <c r="G67" s="830"/>
      <c r="H67" s="831"/>
      <c r="I67" s="831"/>
      <c r="J67" s="832"/>
      <c r="K67" s="832"/>
      <c r="L67" s="832"/>
      <c r="M67" s="832"/>
      <c r="N67" s="832"/>
    </row>
    <row r="68" spans="3:24" ht="17.25" customHeight="1" x14ac:dyDescent="0.3">
      <c r="C68" s="740"/>
      <c r="D68" s="740"/>
      <c r="E68" s="740"/>
      <c r="F68" s="740"/>
      <c r="G68" s="826" t="s">
        <v>692</v>
      </c>
      <c r="H68" s="767"/>
      <c r="I68" s="768"/>
      <c r="J68" s="769">
        <f xml:space="preserve"> J$42</f>
        <v>0.36840099391897113</v>
      </c>
      <c r="K68" s="769">
        <f xml:space="preserve"> K$42</f>
        <v>0.25218252128906543</v>
      </c>
      <c r="L68" s="769">
        <f xml:space="preserve"> L$42</f>
        <v>0.18717677005328387</v>
      </c>
      <c r="M68" s="769">
        <f xml:space="preserve"> M$42</f>
        <v>0.13635508392773318</v>
      </c>
      <c r="N68" s="769">
        <f xml:space="preserve"> N$42</f>
        <v>8.9791096331844358E-2</v>
      </c>
      <c r="O68" s="740"/>
      <c r="P68" s="740"/>
      <c r="Q68" s="740"/>
      <c r="R68" s="740"/>
      <c r="S68" s="740"/>
      <c r="T68" s="740"/>
      <c r="U68" s="740"/>
      <c r="V68" s="740"/>
      <c r="W68" s="740"/>
      <c r="X68" s="740"/>
    </row>
    <row r="69" spans="3:24" x14ac:dyDescent="0.3">
      <c r="G69" s="827" t="str">
        <f xml:space="preserve"> TransMatrix!G$34</f>
        <v xml:space="preserve"> + Cash flow to equity</v>
      </c>
      <c r="H69" s="762"/>
      <c r="I69" s="763">
        <f xml:space="preserve"> TransMatrix!I$34</f>
        <v>-8000</v>
      </c>
      <c r="J69" s="763">
        <f xml:space="preserve"> TransMatrix!J$34</f>
        <v>233.27500000000001</v>
      </c>
      <c r="K69" s="763">
        <f xml:space="preserve"> TransMatrix!K$34</f>
        <v>419.3240349315069</v>
      </c>
      <c r="L69" s="763">
        <f xml:space="preserve"> TransMatrix!L$34</f>
        <v>621.2483899136987</v>
      </c>
      <c r="M69" s="763">
        <f xml:space="preserve"> TransMatrix!M$34</f>
        <v>844.37306771495628</v>
      </c>
      <c r="N69" s="763">
        <f xml:space="preserve"> TransMatrix!N$34</f>
        <v>21927.249729206156</v>
      </c>
    </row>
    <row r="70" spans="3:24" x14ac:dyDescent="0.3">
      <c r="G70" s="760" t="s">
        <v>635</v>
      </c>
      <c r="H70" s="762"/>
      <c r="I70" s="764">
        <f xml:space="preserve"> ( J70 + J69 ) / ( 1 + J68 )</f>
        <v>9790.1021278549815</v>
      </c>
      <c r="J70" s="764">
        <f xml:space="preserve"> ( K70 + K69 ) / ( 1 + K68 )</f>
        <v>13163.510482324991</v>
      </c>
      <c r="K70" s="764">
        <f xml:space="preserve"> ( L70 + L69 ) / ( 1 + L68 )</f>
        <v>16063.793709841244</v>
      </c>
      <c r="L70" s="764">
        <f xml:space="preserve"> ( M70 + M69 ) / ( 1 + M68 )</f>
        <v>18449.314341337889</v>
      </c>
      <c r="M70" s="764">
        <f xml:space="preserve"> ( N70 + N69 ) / ( 1 + N68 )</f>
        <v>20120.599079045191</v>
      </c>
      <c r="N70" s="765">
        <v>0</v>
      </c>
    </row>
    <row r="71" spans="3:24" ht="14.4" x14ac:dyDescent="0.3">
      <c r="G71" s="761" t="s">
        <v>645</v>
      </c>
      <c r="H71" s="766">
        <f xml:space="preserve"> I70 + I69</f>
        <v>1790.1021278549815</v>
      </c>
    </row>
    <row r="72" spans="3:24" ht="15" thickBot="1" x14ac:dyDescent="0.35">
      <c r="G72" s="795" t="s">
        <v>694</v>
      </c>
      <c r="H72" s="763">
        <f xml:space="preserve"> ValueCreation!$J$47</f>
        <v>1790.1021278549781</v>
      </c>
    </row>
    <row r="73" spans="3:24" ht="15" thickBot="1" x14ac:dyDescent="0.35">
      <c r="G73" s="752" t="s">
        <v>656</v>
      </c>
      <c r="H73" s="750" t="str">
        <f xml:space="preserve"> IF( ABS(H72-H71) &lt; 10^-8, "ok", "ERR" )</f>
        <v>ok</v>
      </c>
      <c r="I73"/>
      <c r="J73"/>
      <c r="K73"/>
      <c r="L73"/>
      <c r="M73"/>
      <c r="N73"/>
    </row>
    <row r="74" spans="3:24" s="38" customFormat="1" ht="6.6" x14ac:dyDescent="0.15">
      <c r="G74" s="830"/>
      <c r="H74" s="831"/>
      <c r="I74" s="831"/>
      <c r="J74" s="832"/>
      <c r="K74" s="832"/>
      <c r="L74" s="832"/>
      <c r="M74" s="832"/>
      <c r="N74" s="832"/>
    </row>
    <row r="75" spans="3:24" ht="17.25" customHeight="1" x14ac:dyDescent="0.3">
      <c r="C75" s="740"/>
      <c r="D75" s="740"/>
      <c r="E75" s="740"/>
      <c r="F75" s="740"/>
      <c r="G75" s="824" t="s">
        <v>669</v>
      </c>
      <c r="H75" s="767"/>
      <c r="I75" s="768"/>
      <c r="J75" s="769">
        <f xml:space="preserve"> J48</f>
        <v>0.17252294683689137</v>
      </c>
      <c r="K75" s="769">
        <f xml:space="preserve"> K48</f>
        <v>0.15145778968552687</v>
      </c>
      <c r="L75" s="769">
        <f xml:space="preserve"> L48</f>
        <v>0.13353124880690412</v>
      </c>
      <c r="M75" s="769">
        <f xml:space="preserve"> M48</f>
        <v>0.11115442650019169</v>
      </c>
      <c r="N75" s="769">
        <f xml:space="preserve"> N48</f>
        <v>8.1785615918108442E-2</v>
      </c>
      <c r="O75" s="740"/>
      <c r="P75" s="740"/>
      <c r="Q75" s="740"/>
      <c r="R75" s="740"/>
      <c r="S75" s="740"/>
      <c r="T75" s="740"/>
      <c r="U75" s="740"/>
      <c r="V75" s="740"/>
      <c r="W75" s="740"/>
      <c r="X75" s="740"/>
    </row>
    <row r="76" spans="3:24" x14ac:dyDescent="0.3">
      <c r="G76" s="825" t="str">
        <f xml:space="preserve"> TransMatrix!G$31</f>
        <v>Cash flow from assets</v>
      </c>
      <c r="H76" s="762"/>
      <c r="I76" s="763">
        <f xml:space="preserve"> TransMatrix!I$31</f>
        <v>-20000</v>
      </c>
      <c r="J76" s="763">
        <f xml:space="preserve"> TransMatrix!J$31</f>
        <v>2873.2750000000001</v>
      </c>
      <c r="K76" s="763">
        <f xml:space="preserve"> TransMatrix!K$31</f>
        <v>3011.324034931507</v>
      </c>
      <c r="L76" s="763">
        <f xml:space="preserve"> TransMatrix!L$31</f>
        <v>3165.2483899136987</v>
      </c>
      <c r="M76" s="763">
        <f xml:space="preserve"> TransMatrix!M$31</f>
        <v>3340.3730677149561</v>
      </c>
      <c r="N76" s="763">
        <f xml:space="preserve"> TransMatrix!N$31</f>
        <v>24375.249729206156</v>
      </c>
    </row>
    <row r="77" spans="3:24" x14ac:dyDescent="0.3">
      <c r="G77" s="760" t="s">
        <v>667</v>
      </c>
      <c r="H77" s="762"/>
      <c r="I77" s="764">
        <f xml:space="preserve"> ( J77 + J76 ) / ( 1 + J75 )</f>
        <v>21963.986149489076</v>
      </c>
      <c r="J77" s="764">
        <f xml:space="preserve"> ( K77 + K76 ) / ( 1 + K75 )</f>
        <v>22880.002764283596</v>
      </c>
      <c r="K77" s="764">
        <f xml:space="preserve"> ( L77 + L76 ) / ( 1 + L75 )</f>
        <v>23334.033376029231</v>
      </c>
      <c r="L77" s="764">
        <f xml:space="preserve"> ( M77 + M76 ) / ( 1 + M75 )</f>
        <v>23284.607602518696</v>
      </c>
      <c r="M77" s="764">
        <f xml:space="preserve"> ( N77 + N76 ) / ( 1 + N75 )</f>
        <v>22532.421739143709</v>
      </c>
      <c r="N77" s="765">
        <v>0</v>
      </c>
    </row>
    <row r="78" spans="3:24" s="156" customFormat="1" ht="15" thickBot="1" x14ac:dyDescent="0.35">
      <c r="G78" s="770" t="s">
        <v>668</v>
      </c>
      <c r="H78" s="773"/>
      <c r="I78" s="774">
        <f xml:space="preserve"> I$15</f>
        <v>21963.986149489083</v>
      </c>
      <c r="J78" s="774">
        <f t="shared" ref="J78:N78" si="7" xml:space="preserve"> J$15</f>
        <v>22880.002764283603</v>
      </c>
      <c r="K78" s="774">
        <f t="shared" si="7"/>
        <v>23334.033376029234</v>
      </c>
      <c r="L78" s="774">
        <f t="shared" si="7"/>
        <v>23284.607602518699</v>
      </c>
      <c r="M78" s="774">
        <f t="shared" si="7"/>
        <v>22532.421739143712</v>
      </c>
      <c r="N78" s="774">
        <f t="shared" si="7"/>
        <v>0</v>
      </c>
    </row>
    <row r="79" spans="3:24" ht="13.8" thickBot="1" x14ac:dyDescent="0.35">
      <c r="G79" s="752" t="s">
        <v>666</v>
      </c>
      <c r="H79" s="748"/>
      <c r="I79" s="750" t="str">
        <f t="shared" ref="I79:N79" si="8" xml:space="preserve"> IF( ABS(I78-I77) &lt; 10^-8, "ok", "ERR" )</f>
        <v>ok</v>
      </c>
      <c r="J79" s="750" t="str">
        <f t="shared" si="8"/>
        <v>ok</v>
      </c>
      <c r="K79" s="750" t="str">
        <f t="shared" si="8"/>
        <v>ok</v>
      </c>
      <c r="L79" s="750" t="str">
        <f t="shared" si="8"/>
        <v>ok</v>
      </c>
      <c r="M79" s="750" t="str">
        <f t="shared" si="8"/>
        <v>ok</v>
      </c>
      <c r="N79" s="750" t="str">
        <f t="shared" si="8"/>
        <v>ok</v>
      </c>
    </row>
    <row r="80" spans="3:24" s="38" customFormat="1" ht="6.6" x14ac:dyDescent="0.15">
      <c r="G80" s="830"/>
      <c r="H80" s="831"/>
      <c r="I80" s="831"/>
      <c r="J80" s="832"/>
      <c r="K80" s="832"/>
      <c r="L80" s="832"/>
      <c r="M80" s="832"/>
      <c r="N80" s="832"/>
    </row>
    <row r="81" spans="7:21" x14ac:dyDescent="0.3">
      <c r="G81" s="821" t="s">
        <v>643</v>
      </c>
      <c r="H81" s="788">
        <f xml:space="preserve"> ValueCreation!J$68</f>
        <v>1641.0478431533629</v>
      </c>
    </row>
    <row r="82" spans="7:21" ht="14.4" x14ac:dyDescent="0.3">
      <c r="G82" s="822" t="s">
        <v>650</v>
      </c>
      <c r="H82" s="788">
        <f xml:space="preserve"> ValueCreation!$J$42</f>
        <v>1747.512523568796</v>
      </c>
    </row>
    <row r="83" spans="7:21" x14ac:dyDescent="0.3">
      <c r="G83" s="823" t="str">
        <f xml:space="preserve"> ValueCreation!E$61</f>
        <v>Tax shield NPV</v>
      </c>
      <c r="H83" s="789">
        <f xml:space="preserve"> ValueCreation!J$61</f>
        <v>106.46468041543928</v>
      </c>
    </row>
    <row r="84" spans="7:21" ht="15" thickBot="1" x14ac:dyDescent="0.35">
      <c r="G84" s="759" t="s">
        <v>690</v>
      </c>
      <c r="H84" s="790">
        <f xml:space="preserve"> H82 -H83</f>
        <v>1641.0478431533568</v>
      </c>
      <c r="I84" s="729"/>
      <c r="J84" s="729"/>
      <c r="K84" s="729"/>
      <c r="L84" s="729"/>
      <c r="M84" s="729"/>
      <c r="N84" s="729"/>
      <c r="O84" s="729"/>
      <c r="P84" s="729"/>
      <c r="Q84" s="729"/>
      <c r="R84" s="729"/>
      <c r="S84" s="729"/>
      <c r="T84" s="729"/>
      <c r="U84" s="729"/>
    </row>
    <row r="85" spans="7:21" ht="13.8" thickBot="1" x14ac:dyDescent="0.35">
      <c r="G85" s="752" t="s">
        <v>655</v>
      </c>
      <c r="H85" s="750" t="str">
        <f xml:space="preserve"> IF( ABS(H84-H81) &lt; 10^-8, "ok", "ERR" )</f>
        <v>ok</v>
      </c>
      <c r="I85" s="729"/>
      <c r="J85" s="729"/>
      <c r="K85" s="729"/>
      <c r="L85" s="729"/>
      <c r="M85" s="729"/>
      <c r="N85" s="755"/>
      <c r="O85" s="756"/>
      <c r="P85" s="757"/>
      <c r="Q85" s="758"/>
      <c r="S85" s="756"/>
    </row>
    <row r="86" spans="7:21" s="38" customFormat="1" ht="6.6" x14ac:dyDescent="0.15">
      <c r="G86" s="830"/>
      <c r="H86" s="831"/>
      <c r="I86" s="831"/>
      <c r="J86" s="832"/>
      <c r="K86" s="832"/>
      <c r="L86" s="832"/>
      <c r="M86" s="832"/>
      <c r="N86" s="832"/>
    </row>
    <row r="87" spans="7:21" ht="26.4" x14ac:dyDescent="0.3">
      <c r="G87" s="780" t="s">
        <v>657</v>
      </c>
      <c r="H87" s="788">
        <f xml:space="preserve"> ValueCreation!J$77</f>
        <v>1790.1021278549888</v>
      </c>
      <c r="J87" s="306"/>
      <c r="K87" s="306"/>
      <c r="L87" s="306"/>
      <c r="M87" s="306"/>
      <c r="N87" s="306"/>
    </row>
    <row r="88" spans="7:21" ht="15" thickBot="1" x14ac:dyDescent="0.35">
      <c r="G88" s="783" t="s">
        <v>691</v>
      </c>
      <c r="H88" s="791">
        <f xml:space="preserve"> ValueCreation!$J$47</f>
        <v>1790.1021278549781</v>
      </c>
      <c r="J88" s="695"/>
      <c r="K88" s="306"/>
      <c r="L88" s="306"/>
      <c r="M88" s="306"/>
      <c r="N88" s="306"/>
    </row>
    <row r="89" spans="7:21" ht="13.8" thickBot="1" x14ac:dyDescent="0.35">
      <c r="G89" s="752" t="s">
        <v>656</v>
      </c>
      <c r="H89" s="750" t="str">
        <f xml:space="preserve"> IF( ABS(H88-H87) &lt; 10^-8, "ok", "ERR" )</f>
        <v>ok</v>
      </c>
      <c r="J89" s="695"/>
      <c r="K89" s="306"/>
      <c r="L89" s="306"/>
      <c r="M89" s="306"/>
      <c r="N89" s="306"/>
    </row>
    <row r="91" spans="7:21" ht="14.4" x14ac:dyDescent="0.3">
      <c r="G91" s="985" t="s">
        <v>888</v>
      </c>
      <c r="H91" s="993" t="s">
        <v>884</v>
      </c>
      <c r="I91" s="994">
        <v>0</v>
      </c>
      <c r="J91" s="995">
        <v>1</v>
      </c>
      <c r="K91" s="995">
        <v>2</v>
      </c>
      <c r="L91" s="995">
        <v>3</v>
      </c>
      <c r="M91" s="995">
        <v>4</v>
      </c>
      <c r="N91" s="995">
        <v>5</v>
      </c>
    </row>
    <row r="92" spans="7:21" ht="14.4" x14ac:dyDescent="0.3">
      <c r="G92" s="760" t="s">
        <v>891</v>
      </c>
      <c r="H92" s="762"/>
      <c r="I92" s="764">
        <f t="shared" ref="I92:N92" si="9" xml:space="preserve"> I13 - I10</f>
        <v>15707.41039571382</v>
      </c>
      <c r="J92" s="764">
        <f t="shared" si="9"/>
        <v>9954.7367964914592</v>
      </c>
      <c r="K92" s="764">
        <f t="shared" si="9"/>
        <v>4525.3654518935637</v>
      </c>
      <c r="L92" s="764">
        <f t="shared" si="9"/>
        <v>-1625.4491390894436</v>
      </c>
      <c r="M92" s="764">
        <f t="shared" si="9"/>
        <v>-8567.0007028237069</v>
      </c>
      <c r="N92" s="764">
        <f t="shared" si="9"/>
        <v>0</v>
      </c>
    </row>
    <row r="93" spans="7:21" x14ac:dyDescent="0.3">
      <c r="G93" s="760" t="s">
        <v>886</v>
      </c>
      <c r="H93" s="762"/>
      <c r="I93" s="764">
        <f xml:space="preserve"> H92 * ( 1 + $H$38 ) - I92</f>
        <v>-15707.41039571382</v>
      </c>
      <c r="J93" s="764">
        <f t="shared" ref="J93:M93" si="10" xml:space="preserve"> I92 * ( 1 + $H$38 ) - J92</f>
        <v>8108.7851585794306</v>
      </c>
      <c r="K93" s="764">
        <f t="shared" si="10"/>
        <v>6922.5818640716134</v>
      </c>
      <c r="L93" s="764">
        <f t="shared" si="10"/>
        <v>6829.619408767041</v>
      </c>
      <c r="M93" s="764">
        <f t="shared" si="10"/>
        <v>6697.7341928708465</v>
      </c>
      <c r="N93" s="764">
        <f xml:space="preserve"> M92 * ( 1 + $H$38 ) - N92</f>
        <v>-9852.0508082472625</v>
      </c>
    </row>
    <row r="94" spans="7:21" x14ac:dyDescent="0.3">
      <c r="G94" s="825" t="s">
        <v>890</v>
      </c>
      <c r="H94" s="762"/>
      <c r="I94" s="763">
        <f xml:space="preserve"> AccDiagnostics!I29</f>
        <v>-23750</v>
      </c>
      <c r="J94" s="763">
        <f xml:space="preserve"> AccDiagnostics!J29</f>
        <v>6203.8921232876673</v>
      </c>
      <c r="K94" s="763">
        <f xml:space="preserve"> AccDiagnostics!K29</f>
        <v>5996.8252089041116</v>
      </c>
      <c r="L94" s="763">
        <f xml:space="preserve"> AccDiagnostics!L29</f>
        <v>6853.6678337465801</v>
      </c>
      <c r="M94" s="763">
        <f xml:space="preserve"> AccDiagnostics!M29</f>
        <v>7793.8466063642281</v>
      </c>
      <c r="N94" s="763">
        <f xml:space="preserve"> AccDiagnostics!N29</f>
        <v>13286.638132654705</v>
      </c>
    </row>
    <row r="95" spans="7:21" x14ac:dyDescent="0.3">
      <c r="G95" s="760" t="s">
        <v>885</v>
      </c>
      <c r="H95" s="762"/>
      <c r="I95" s="764">
        <f xml:space="preserve"> I94 - I93</f>
        <v>-8042.5896042861805</v>
      </c>
      <c r="J95" s="764">
        <f t="shared" ref="J95:N95" si="11" xml:space="preserve"> J94 - J93</f>
        <v>-1904.8930352917632</v>
      </c>
      <c r="K95" s="764">
        <f t="shared" si="11"/>
        <v>-925.75665516750178</v>
      </c>
      <c r="L95" s="764">
        <f t="shared" si="11"/>
        <v>24.04842497953905</v>
      </c>
      <c r="M95" s="764">
        <f t="shared" si="11"/>
        <v>1096.1124134933816</v>
      </c>
      <c r="N95" s="764">
        <f t="shared" si="11"/>
        <v>23138.688940901968</v>
      </c>
    </row>
    <row r="96" spans="7:21" x14ac:dyDescent="0.3">
      <c r="G96" s="760" t="s">
        <v>635</v>
      </c>
      <c r="H96" s="762"/>
      <c r="I96" s="764">
        <f t="shared" ref="I96:L96" si="12" xml:space="preserve"> ( J96 + J95 ) / ( 1 + $H$38 )</f>
        <v>9790.1021278549815</v>
      </c>
      <c r="J96" s="764">
        <f t="shared" si="12"/>
        <v>13163.510482324991</v>
      </c>
      <c r="K96" s="764">
        <f t="shared" si="12"/>
        <v>16063.793709841242</v>
      </c>
      <c r="L96" s="764">
        <f t="shared" si="12"/>
        <v>18449.314341337889</v>
      </c>
      <c r="M96" s="764">
        <f xml:space="preserve"> ( N96 + N95 ) / ( 1 + $H$38 )</f>
        <v>20120.599079045191</v>
      </c>
      <c r="N96" s="765">
        <v>0</v>
      </c>
    </row>
    <row r="97" spans="7:14" ht="16.2" thickBot="1" x14ac:dyDescent="0.35">
      <c r="G97" s="985" t="s">
        <v>887</v>
      </c>
      <c r="H97" s="790">
        <f xml:space="preserve"> I96 + AccDiagnostics!I34</f>
        <v>1790.1021278549815</v>
      </c>
    </row>
    <row r="98" spans="7:14" ht="16.2" thickBot="1" x14ac:dyDescent="0.35">
      <c r="G98" s="752" t="s">
        <v>892</v>
      </c>
      <c r="H98" s="750" t="str">
        <f xml:space="preserve"> IF( ABS(H97-H88) &lt; 10^-8, "ok", "ERR" )</f>
        <v>ok</v>
      </c>
      <c r="J98" s="695"/>
      <c r="K98" s="306"/>
      <c r="L98" s="306"/>
      <c r="M98" s="306"/>
      <c r="N98" s="306"/>
    </row>
  </sheetData>
  <conditionalFormatting sqref="H66">
    <cfRule type="cellIs" dxfId="12" priority="24" operator="equal">
      <formula>"ERR"</formula>
    </cfRule>
  </conditionalFormatting>
  <conditionalFormatting sqref="H73">
    <cfRule type="cellIs" dxfId="11" priority="23" operator="equal">
      <formula>"ERR"</formula>
    </cfRule>
  </conditionalFormatting>
  <conditionalFormatting sqref="H85">
    <cfRule type="cellIs" dxfId="10" priority="12" operator="equal">
      <formula>"ERR"</formula>
    </cfRule>
  </conditionalFormatting>
  <conditionalFormatting sqref="H89">
    <cfRule type="cellIs" dxfId="9" priority="11" operator="equal">
      <formula>"ERR"</formula>
    </cfRule>
  </conditionalFormatting>
  <conditionalFormatting sqref="H98">
    <cfRule type="cellIs" dxfId="8" priority="1" operator="equal">
      <formula>"ERR"</formula>
    </cfRule>
  </conditionalFormatting>
  <conditionalFormatting sqref="I79:N79">
    <cfRule type="cellIs" dxfId="7" priority="13" operator="equal">
      <formula>"ERR"</formula>
    </cfRule>
  </conditionalFormatting>
  <conditionalFormatting sqref="J46:N46">
    <cfRule type="cellIs" dxfId="6" priority="28" operator="equal">
      <formula>"ERR"</formula>
    </cfRule>
  </conditionalFormatting>
  <conditionalFormatting sqref="J50:N50">
    <cfRule type="cellIs" dxfId="5" priority="25" operator="equal">
      <formula>"ERR"</formula>
    </cfRule>
  </conditionalFormatting>
  <conditionalFormatting sqref="J54:N54">
    <cfRule type="cellIs" dxfId="4" priority="17" operator="equal">
      <formula>"ERR"</formula>
    </cfRule>
  </conditionalFormatting>
  <conditionalFormatting sqref="J59:N59">
    <cfRule type="cellIs" dxfId="3" priority="20" operator="equal">
      <formula>"ERR"</formula>
    </cfRule>
  </conditionalFormatting>
  <conditionalFormatting sqref="S15">
    <cfRule type="cellIs" dxfId="2" priority="4" operator="equal">
      <formula>"ERR"</formula>
    </cfRule>
  </conditionalFormatting>
  <conditionalFormatting sqref="S25">
    <cfRule type="cellIs" dxfId="1" priority="3" operator="equal">
      <formula>"ERR"</formula>
    </cfRule>
  </conditionalFormatting>
  <conditionalFormatting sqref="S35">
    <cfRule type="cellIs" dxfId="0" priority="6" operator="equal">
      <formula>"ERR"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AB4D-6E15-4C40-B770-D2C71930D875}">
  <sheetPr codeName="Sheet1">
    <tabColor rgb="FFFFFF99"/>
  </sheetPr>
  <dimension ref="A1"/>
  <sheetViews>
    <sheetView showGridLines="0" showRowColHeaders="0" tabSelected="1" zoomScale="70" zoomScaleNormal="70" workbookViewId="0">
      <selection activeCell="S77" sqref="S77"/>
    </sheetView>
  </sheetViews>
  <sheetFormatPr defaultColWidth="9.109375" defaultRowHeight="13.2" x14ac:dyDescent="0.3"/>
  <cols>
    <col min="1" max="16384" width="9.109375" style="3"/>
  </cols>
  <sheetData/>
  <sheetProtection selectLockedCells="1" selectUnlockedCell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F558F-A778-499B-8CFD-C91A1ABC3F6D}">
  <dimension ref="A1:I24"/>
  <sheetViews>
    <sheetView showGridLines="0" showRowColHeaders="0" zoomScaleNormal="100" workbookViewId="0">
      <selection activeCell="G9" sqref="G9"/>
    </sheetView>
  </sheetViews>
  <sheetFormatPr defaultColWidth="0" defaultRowHeight="14.4" zeroHeight="1" x14ac:dyDescent="0.3"/>
  <cols>
    <col min="1" max="1" width="7.109375" style="778" customWidth="1"/>
    <col min="2" max="2" width="28.5546875" style="778" customWidth="1"/>
    <col min="3" max="3" width="42.88671875" style="778" customWidth="1"/>
    <col min="4" max="4" width="9.109375" style="778" customWidth="1"/>
    <col min="5" max="5" width="42.88671875" style="778" customWidth="1"/>
    <col min="6" max="6" width="9.109375" style="778" customWidth="1"/>
    <col min="7" max="7" width="42.88671875" style="778" customWidth="1"/>
    <col min="8" max="8" width="9.109375" style="778" customWidth="1"/>
    <col min="9" max="9" width="7.109375" style="778" customWidth="1"/>
    <col min="10" max="16384" width="9.109375" style="778" hidden="1"/>
  </cols>
  <sheetData>
    <row r="1" spans="2:8" s="867" customFormat="1" ht="38.25" customHeight="1" thickBot="1" x14ac:dyDescent="0.35"/>
    <row r="2" spans="2:8" s="867" customFormat="1" ht="18" customHeight="1" thickBot="1" x14ac:dyDescent="0.35">
      <c r="C2" s="861" t="s">
        <v>202</v>
      </c>
      <c r="D2" s="862" t="s">
        <v>1</v>
      </c>
      <c r="E2" s="863" t="s">
        <v>203</v>
      </c>
      <c r="F2" s="864" t="s">
        <v>2</v>
      </c>
      <c r="G2" s="865" t="s">
        <v>601</v>
      </c>
      <c r="H2" s="866" t="s">
        <v>3</v>
      </c>
    </row>
    <row r="3" spans="2:8" s="867" customFormat="1" ht="18" customHeight="1" thickBot="1" x14ac:dyDescent="0.35">
      <c r="B3" s="1156" t="s">
        <v>624</v>
      </c>
      <c r="C3" s="934" t="s">
        <v>801</v>
      </c>
      <c r="D3" s="935" t="s">
        <v>808</v>
      </c>
      <c r="E3" s="936" t="s">
        <v>65</v>
      </c>
      <c r="F3" s="935" t="s">
        <v>826</v>
      </c>
      <c r="G3" s="937" t="s">
        <v>838</v>
      </c>
      <c r="H3" s="938" t="s">
        <v>848</v>
      </c>
    </row>
    <row r="4" spans="2:8" s="867" customFormat="1" ht="18" customHeight="1" thickBot="1" x14ac:dyDescent="0.35">
      <c r="B4" s="1156"/>
      <c r="C4" s="939" t="s">
        <v>501</v>
      </c>
      <c r="D4" s="940" t="s">
        <v>809</v>
      </c>
      <c r="E4" s="941" t="s">
        <v>819</v>
      </c>
      <c r="F4" s="940" t="s">
        <v>827</v>
      </c>
      <c r="G4" s="942" t="s">
        <v>839</v>
      </c>
      <c r="H4" s="943" t="s">
        <v>849</v>
      </c>
    </row>
    <row r="5" spans="2:8" s="867" customFormat="1" ht="18" customHeight="1" thickBot="1" x14ac:dyDescent="0.35">
      <c r="B5" s="1156"/>
      <c r="C5" s="939" t="s">
        <v>802</v>
      </c>
      <c r="D5" s="940" t="s">
        <v>810</v>
      </c>
      <c r="E5" s="941" t="s">
        <v>820</v>
      </c>
      <c r="F5" s="940" t="s">
        <v>828</v>
      </c>
      <c r="G5" s="942" t="s">
        <v>840</v>
      </c>
      <c r="H5" s="944" t="s">
        <v>850</v>
      </c>
    </row>
    <row r="6" spans="2:8" s="867" customFormat="1" ht="18" customHeight="1" thickBot="1" x14ac:dyDescent="0.35">
      <c r="B6" s="1156"/>
      <c r="C6" s="939" t="s">
        <v>803</v>
      </c>
      <c r="D6" s="940" t="s">
        <v>811</v>
      </c>
      <c r="E6" s="941" t="s">
        <v>821</v>
      </c>
      <c r="F6" s="940" t="s">
        <v>829</v>
      </c>
      <c r="G6" s="942" t="s">
        <v>841</v>
      </c>
      <c r="H6" s="944" t="s">
        <v>851</v>
      </c>
    </row>
    <row r="7" spans="2:8" s="867" customFormat="1" ht="18" customHeight="1" thickBot="1" x14ac:dyDescent="0.35">
      <c r="B7" s="1156"/>
      <c r="C7" s="939" t="s">
        <v>804</v>
      </c>
      <c r="D7" s="940" t="s">
        <v>812</v>
      </c>
      <c r="E7" s="941" t="s">
        <v>822</v>
      </c>
      <c r="F7" s="940" t="s">
        <v>830</v>
      </c>
      <c r="G7" s="942" t="s">
        <v>842</v>
      </c>
      <c r="H7" s="944" t="s">
        <v>852</v>
      </c>
    </row>
    <row r="8" spans="2:8" s="867" customFormat="1" ht="18" customHeight="1" thickBot="1" x14ac:dyDescent="0.35">
      <c r="B8" s="1156"/>
      <c r="C8" s="939" t="s">
        <v>805</v>
      </c>
      <c r="D8" s="940" t="s">
        <v>813</v>
      </c>
      <c r="E8" s="941" t="s">
        <v>823</v>
      </c>
      <c r="F8" s="940" t="s">
        <v>831</v>
      </c>
      <c r="G8" s="942" t="s">
        <v>843</v>
      </c>
      <c r="H8" s="944" t="s">
        <v>853</v>
      </c>
    </row>
    <row r="9" spans="2:8" s="867" customFormat="1" ht="18" customHeight="1" thickBot="1" x14ac:dyDescent="0.35">
      <c r="B9" s="1156"/>
      <c r="C9" s="939" t="s">
        <v>806</v>
      </c>
      <c r="D9" s="940" t="s">
        <v>814</v>
      </c>
      <c r="E9" s="941" t="s">
        <v>120</v>
      </c>
      <c r="F9" s="940" t="s">
        <v>832</v>
      </c>
      <c r="G9" s="942" t="s">
        <v>844</v>
      </c>
      <c r="H9" s="944" t="s">
        <v>854</v>
      </c>
    </row>
    <row r="10" spans="2:8" s="867" customFormat="1" ht="18" customHeight="1" thickBot="1" x14ac:dyDescent="0.35">
      <c r="B10" s="1156"/>
      <c r="C10" s="945" t="s">
        <v>807</v>
      </c>
      <c r="D10" s="946" t="s">
        <v>815</v>
      </c>
      <c r="E10" s="947" t="s">
        <v>69</v>
      </c>
      <c r="F10" s="946" t="s">
        <v>833</v>
      </c>
      <c r="G10" s="948" t="s">
        <v>845</v>
      </c>
      <c r="H10" s="949" t="s">
        <v>855</v>
      </c>
    </row>
    <row r="11" spans="2:8" s="867" customFormat="1" ht="18" customHeight="1" thickBot="1" x14ac:dyDescent="0.35">
      <c r="B11" s="868" t="s">
        <v>622</v>
      </c>
      <c r="C11" s="950" t="s">
        <v>37</v>
      </c>
      <c r="D11" s="951" t="s">
        <v>816</v>
      </c>
      <c r="E11" s="952" t="s">
        <v>824</v>
      </c>
      <c r="F11" s="951" t="s">
        <v>834</v>
      </c>
      <c r="G11" s="953" t="s">
        <v>846</v>
      </c>
      <c r="H11" s="954" t="s">
        <v>856</v>
      </c>
    </row>
    <row r="12" spans="2:8" s="867" customFormat="1" ht="18" customHeight="1" thickTop="1" thickBot="1" x14ac:dyDescent="0.35">
      <c r="B12" s="869" t="s">
        <v>509</v>
      </c>
      <c r="C12" s="955" t="s">
        <v>31</v>
      </c>
      <c r="D12" s="956" t="s">
        <v>817</v>
      </c>
      <c r="E12" s="957" t="s">
        <v>825</v>
      </c>
      <c r="F12" s="956" t="s">
        <v>835</v>
      </c>
      <c r="G12" s="958" t="s">
        <v>847</v>
      </c>
      <c r="H12" s="959" t="s">
        <v>857</v>
      </c>
    </row>
    <row r="13" spans="2:8" s="867" customFormat="1" ht="18" customHeight="1" thickBot="1" x14ac:dyDescent="0.35">
      <c r="B13" s="860" t="s">
        <v>623</v>
      </c>
      <c r="C13" s="960" t="s">
        <v>30</v>
      </c>
      <c r="D13" s="961" t="s">
        <v>818</v>
      </c>
      <c r="E13" s="962" t="s">
        <v>23</v>
      </c>
      <c r="F13" s="961" t="s">
        <v>836</v>
      </c>
      <c r="G13" s="963" t="s">
        <v>837</v>
      </c>
      <c r="H13" s="964" t="s">
        <v>858</v>
      </c>
    </row>
    <row r="14" spans="2:8" s="867" customFormat="1" ht="38.25" customHeight="1" x14ac:dyDescent="0.3"/>
    <row r="15" spans="2:8" ht="18" hidden="1" customHeight="1" x14ac:dyDescent="0.3"/>
    <row r="16" spans="2:8" ht="18" hidden="1" customHeight="1" x14ac:dyDescent="0.3"/>
    <row r="17" ht="18" hidden="1" customHeight="1" x14ac:dyDescent="0.3"/>
    <row r="18" ht="18" hidden="1" customHeight="1" x14ac:dyDescent="0.3"/>
    <row r="19" ht="18" hidden="1" customHeight="1" x14ac:dyDescent="0.3"/>
    <row r="20" ht="18" hidden="1" customHeight="1" x14ac:dyDescent="0.3"/>
    <row r="21" ht="18" hidden="1" customHeight="1" x14ac:dyDescent="0.3"/>
    <row r="22" ht="18" hidden="1" customHeight="1" x14ac:dyDescent="0.3"/>
    <row r="23" ht="18" hidden="1" customHeight="1" x14ac:dyDescent="0.3"/>
    <row r="24" ht="18" hidden="1" customHeight="1" x14ac:dyDescent="0.3"/>
  </sheetData>
  <sheetProtection selectLockedCells="1" selectUnlockedCells="1"/>
  <mergeCells count="1">
    <mergeCell ref="B3:B10"/>
  </mergeCells>
  <pageMargins left="0.7" right="0.7" top="0.75" bottom="0.75" header="0.3" footer="0.3"/>
  <ignoredErrors>
    <ignoredError sqref="H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340AB-618B-4D11-8F97-96F427A60808}">
  <sheetPr codeName="Sheet2">
    <tabColor rgb="FFFFFF99"/>
  </sheetPr>
  <dimension ref="B1:M30"/>
  <sheetViews>
    <sheetView zoomScaleNormal="100" workbookViewId="0">
      <pane xSplit="8" ySplit="3" topLeftCell="I4" activePane="bottomRight" state="frozen"/>
      <selection pane="topRight" activeCell="H1" sqref="H1"/>
      <selection pane="bottomLeft" activeCell="A4" sqref="A4"/>
      <selection pane="bottomRight" activeCell="I4" sqref="I4"/>
    </sheetView>
  </sheetViews>
  <sheetFormatPr defaultColWidth="9.109375" defaultRowHeight="13.2" x14ac:dyDescent="0.3"/>
  <cols>
    <col min="1" max="1" width="9.109375" style="15"/>
    <col min="2" max="2" width="7.6640625" style="146" customWidth="1"/>
    <col min="3" max="5" width="2.88671875" style="15" hidden="1" customWidth="1"/>
    <col min="6" max="6" width="31.44140625" style="15" customWidth="1"/>
    <col min="7" max="7" width="7" style="15" customWidth="1"/>
    <col min="8" max="8" width="50" style="15" customWidth="1"/>
    <col min="9" max="9" width="12.88671875" style="15" customWidth="1"/>
    <col min="10" max="10" width="8.5546875" style="14" customWidth="1"/>
    <col min="11" max="11" width="12.5546875" style="15" customWidth="1"/>
    <col min="12" max="13" width="10" style="408" customWidth="1"/>
    <col min="14" max="16384" width="9.109375" style="15"/>
  </cols>
  <sheetData>
    <row r="1" spans="2:13" s="244" customFormat="1" ht="37.5" customHeight="1" thickBot="1" x14ac:dyDescent="0.35">
      <c r="B1" s="241"/>
      <c r="C1" s="242"/>
      <c r="D1" s="242"/>
      <c r="E1" s="242"/>
      <c r="F1" s="243"/>
      <c r="K1" s="245"/>
      <c r="L1" s="245"/>
      <c r="M1" s="245"/>
    </row>
    <row r="2" spans="2:13" s="47" customFormat="1" ht="19.2" thickBot="1" x14ac:dyDescent="0.35">
      <c r="B2" s="71"/>
      <c r="C2" s="49"/>
      <c r="D2" s="49"/>
      <c r="E2" s="49"/>
      <c r="F2" s="49"/>
      <c r="G2" s="139"/>
      <c r="H2" s="139" t="s">
        <v>294</v>
      </c>
      <c r="I2" s="47" t="s">
        <v>295</v>
      </c>
      <c r="J2" s="47" t="s">
        <v>32</v>
      </c>
      <c r="L2" s="632" t="s">
        <v>146</v>
      </c>
      <c r="M2" s="632"/>
    </row>
    <row r="3" spans="2:13" s="33" customFormat="1" ht="6.6" hidden="1" x14ac:dyDescent="0.3">
      <c r="B3" s="236"/>
      <c r="C3" s="237"/>
      <c r="D3" s="237"/>
      <c r="E3" s="237"/>
      <c r="F3" s="238"/>
      <c r="G3" s="38"/>
      <c r="H3" s="38"/>
      <c r="I3" s="34"/>
      <c r="J3" s="37"/>
      <c r="K3" s="34"/>
      <c r="L3" s="34"/>
      <c r="M3" s="34"/>
    </row>
    <row r="4" spans="2:13" s="42" customFormat="1" ht="4.95" customHeight="1" thickBot="1" x14ac:dyDescent="0.35">
      <c r="B4" s="239"/>
      <c r="F4" s="240"/>
      <c r="G4" s="240"/>
      <c r="H4" s="240"/>
      <c r="J4" s="44"/>
    </row>
    <row r="5" spans="2:13" s="131" customFormat="1" ht="15" customHeight="1" x14ac:dyDescent="0.3">
      <c r="B5" s="72">
        <v>1</v>
      </c>
      <c r="F5" s="199"/>
      <c r="G5" s="280" t="s">
        <v>329</v>
      </c>
      <c r="H5" s="268" t="s">
        <v>349</v>
      </c>
      <c r="I5" s="200">
        <v>5</v>
      </c>
      <c r="J5" s="201" t="s">
        <v>70</v>
      </c>
      <c r="L5" s="633" t="s">
        <v>144</v>
      </c>
      <c r="M5" s="633" t="s">
        <v>142</v>
      </c>
    </row>
    <row r="6" spans="2:13" s="11" customFormat="1" ht="15" customHeight="1" x14ac:dyDescent="0.3">
      <c r="B6" s="72">
        <v>2</v>
      </c>
      <c r="F6" s="120" t="s">
        <v>68</v>
      </c>
      <c r="G6" s="288"/>
      <c r="H6" s="269" t="s">
        <v>350</v>
      </c>
      <c r="I6" s="136">
        <v>20000</v>
      </c>
      <c r="J6" s="141" t="s">
        <v>21</v>
      </c>
      <c r="L6" s="634" t="s">
        <v>144</v>
      </c>
      <c r="M6" s="634" t="s">
        <v>142</v>
      </c>
    </row>
    <row r="7" spans="2:13" s="11" customFormat="1" ht="15" customHeight="1" x14ac:dyDescent="0.3">
      <c r="B7" s="72">
        <v>3</v>
      </c>
      <c r="F7" s="138"/>
      <c r="G7" s="289"/>
      <c r="H7" s="270" t="s">
        <v>120</v>
      </c>
      <c r="I7" s="278" t="s">
        <v>137</v>
      </c>
      <c r="J7" s="142"/>
      <c r="L7" s="634" t="s">
        <v>144</v>
      </c>
      <c r="M7" s="634" t="s">
        <v>142</v>
      </c>
    </row>
    <row r="8" spans="2:13" s="131" customFormat="1" ht="15" customHeight="1" x14ac:dyDescent="0.3">
      <c r="B8" s="72">
        <v>4</v>
      </c>
      <c r="F8" s="120" t="s">
        <v>65</v>
      </c>
      <c r="G8" s="288"/>
      <c r="H8" s="269" t="s">
        <v>191</v>
      </c>
      <c r="I8" s="136">
        <v>6000</v>
      </c>
      <c r="J8" s="141" t="s">
        <v>64</v>
      </c>
      <c r="L8" s="634" t="s">
        <v>144</v>
      </c>
      <c r="M8" s="634" t="s">
        <v>142</v>
      </c>
    </row>
    <row r="9" spans="2:13" s="143" customFormat="1" ht="15" customHeight="1" x14ac:dyDescent="0.3">
      <c r="B9" s="72">
        <v>5</v>
      </c>
      <c r="F9" s="13"/>
      <c r="G9" s="290"/>
      <c r="H9" s="271" t="s">
        <v>138</v>
      </c>
      <c r="I9" s="135">
        <v>0.1</v>
      </c>
      <c r="J9" s="144" t="s">
        <v>345</v>
      </c>
      <c r="L9" s="634" t="s">
        <v>144</v>
      </c>
      <c r="M9" s="634" t="s">
        <v>142</v>
      </c>
    </row>
    <row r="10" spans="2:13" s="11" customFormat="1" ht="15" customHeight="1" x14ac:dyDescent="0.3">
      <c r="B10" s="72">
        <v>6</v>
      </c>
      <c r="F10" s="13"/>
      <c r="G10" s="291"/>
      <c r="H10" s="272" t="s">
        <v>139</v>
      </c>
      <c r="I10" s="136">
        <v>10</v>
      </c>
      <c r="J10" s="142" t="s">
        <v>66</v>
      </c>
      <c r="L10" s="634" t="s">
        <v>144</v>
      </c>
      <c r="M10" s="634" t="s">
        <v>142</v>
      </c>
    </row>
    <row r="11" spans="2:13" s="11" customFormat="1" ht="15" customHeight="1" x14ac:dyDescent="0.3">
      <c r="B11" s="72">
        <v>7</v>
      </c>
      <c r="F11" s="120" t="s">
        <v>147</v>
      </c>
      <c r="G11" s="288"/>
      <c r="H11" s="269" t="s">
        <v>67</v>
      </c>
      <c r="I11" s="279">
        <v>2.5</v>
      </c>
      <c r="J11" s="141" t="s">
        <v>66</v>
      </c>
      <c r="L11" s="634" t="s">
        <v>144</v>
      </c>
      <c r="M11" s="634" t="s">
        <v>142</v>
      </c>
    </row>
    <row r="12" spans="2:13" s="11" customFormat="1" ht="15" customHeight="1" x14ac:dyDescent="0.3">
      <c r="B12" s="72">
        <v>8</v>
      </c>
      <c r="F12" s="13"/>
      <c r="G12" s="290"/>
      <c r="H12" s="271" t="s">
        <v>251</v>
      </c>
      <c r="I12" s="279">
        <v>4</v>
      </c>
      <c r="J12" s="144" t="s">
        <v>66</v>
      </c>
      <c r="L12" s="634" t="s">
        <v>144</v>
      </c>
      <c r="M12" s="634" t="s">
        <v>142</v>
      </c>
    </row>
    <row r="13" spans="2:13" s="143" customFormat="1" ht="15" customHeight="1" x14ac:dyDescent="0.3">
      <c r="B13" s="72">
        <v>9</v>
      </c>
      <c r="F13" s="122"/>
      <c r="G13" s="291"/>
      <c r="H13" s="272" t="s">
        <v>151</v>
      </c>
      <c r="I13" s="135">
        <v>0.25</v>
      </c>
      <c r="J13" s="142" t="s">
        <v>60</v>
      </c>
      <c r="L13" s="634" t="s">
        <v>144</v>
      </c>
      <c r="M13" s="634" t="s">
        <v>142</v>
      </c>
    </row>
    <row r="14" spans="2:13" s="143" customFormat="1" ht="15" customHeight="1" x14ac:dyDescent="0.3">
      <c r="B14" s="72">
        <v>10</v>
      </c>
      <c r="F14" s="120" t="s">
        <v>148</v>
      </c>
      <c r="G14" s="292"/>
      <c r="H14" s="273" t="s">
        <v>124</v>
      </c>
      <c r="I14" s="135">
        <v>0.15</v>
      </c>
      <c r="J14" s="141" t="s">
        <v>60</v>
      </c>
      <c r="L14" s="634" t="s">
        <v>144</v>
      </c>
      <c r="M14" s="634" t="s">
        <v>142</v>
      </c>
    </row>
    <row r="15" spans="2:13" s="11" customFormat="1" ht="15" customHeight="1" x14ac:dyDescent="0.3">
      <c r="B15" s="72">
        <v>11</v>
      </c>
      <c r="F15" s="138"/>
      <c r="G15" s="291"/>
      <c r="H15" s="272" t="s">
        <v>136</v>
      </c>
      <c r="I15" s="136">
        <v>6000</v>
      </c>
      <c r="J15" s="142" t="s">
        <v>344</v>
      </c>
      <c r="L15" s="634" t="s">
        <v>144</v>
      </c>
      <c r="M15" s="634" t="s">
        <v>142</v>
      </c>
    </row>
    <row r="16" spans="2:13" s="11" customFormat="1" ht="15" customHeight="1" x14ac:dyDescent="0.3">
      <c r="B16" s="72">
        <v>12</v>
      </c>
      <c r="F16" s="120" t="s">
        <v>122</v>
      </c>
      <c r="G16" s="288"/>
      <c r="H16" s="269" t="s">
        <v>116</v>
      </c>
      <c r="I16" s="136">
        <v>30</v>
      </c>
      <c r="J16" s="141" t="s">
        <v>117</v>
      </c>
      <c r="L16" s="634" t="s">
        <v>144</v>
      </c>
      <c r="M16" s="634" t="s">
        <v>142</v>
      </c>
    </row>
    <row r="17" spans="2:13" s="143" customFormat="1" ht="15" customHeight="1" x14ac:dyDescent="0.3">
      <c r="B17" s="72">
        <v>13</v>
      </c>
      <c r="F17" s="138"/>
      <c r="G17" s="291"/>
      <c r="H17" s="272" t="s">
        <v>121</v>
      </c>
      <c r="I17" s="136">
        <v>90</v>
      </c>
      <c r="J17" s="142" t="s">
        <v>117</v>
      </c>
      <c r="L17" s="634" t="s">
        <v>144</v>
      </c>
      <c r="M17" s="634" t="s">
        <v>142</v>
      </c>
    </row>
    <row r="18" spans="2:13" s="131" customFormat="1" ht="15" customHeight="1" x14ac:dyDescent="0.3">
      <c r="B18" s="72">
        <v>14</v>
      </c>
      <c r="F18" s="122" t="s">
        <v>123</v>
      </c>
      <c r="G18" s="293"/>
      <c r="H18" s="274" t="s">
        <v>150</v>
      </c>
      <c r="I18" s="278" t="s">
        <v>149</v>
      </c>
      <c r="J18" s="140"/>
      <c r="L18" s="634" t="s">
        <v>144</v>
      </c>
      <c r="M18" s="634" t="s">
        <v>142</v>
      </c>
    </row>
    <row r="19" spans="2:13" s="143" customFormat="1" ht="15" customHeight="1" x14ac:dyDescent="0.3">
      <c r="B19" s="72">
        <v>15</v>
      </c>
      <c r="F19" s="120" t="s">
        <v>69</v>
      </c>
      <c r="G19" s="281" t="s">
        <v>0</v>
      </c>
      <c r="H19" s="269" t="s">
        <v>346</v>
      </c>
      <c r="I19" s="135">
        <v>0.3</v>
      </c>
      <c r="J19" s="141" t="s">
        <v>60</v>
      </c>
      <c r="L19" s="634" t="s">
        <v>144</v>
      </c>
      <c r="M19" s="634" t="s">
        <v>142</v>
      </c>
    </row>
    <row r="20" spans="2:13" s="11" customFormat="1" ht="15" customHeight="1" x14ac:dyDescent="0.3">
      <c r="B20" s="72">
        <v>16</v>
      </c>
      <c r="F20" s="138"/>
      <c r="G20" s="289"/>
      <c r="H20" s="270" t="s">
        <v>180</v>
      </c>
      <c r="I20" s="278" t="s">
        <v>181</v>
      </c>
      <c r="J20" s="142"/>
      <c r="L20" s="634" t="s">
        <v>144</v>
      </c>
      <c r="M20" s="634" t="s">
        <v>142</v>
      </c>
    </row>
    <row r="21" spans="2:13" s="11" customFormat="1" ht="15" customHeight="1" x14ac:dyDescent="0.3">
      <c r="B21" s="72">
        <v>17</v>
      </c>
      <c r="F21" s="123" t="s">
        <v>140</v>
      </c>
      <c r="G21" s="290"/>
      <c r="H21" s="275" t="s">
        <v>119</v>
      </c>
      <c r="I21" s="136">
        <v>8000</v>
      </c>
      <c r="J21" s="140" t="s">
        <v>21</v>
      </c>
      <c r="L21" s="634" t="s">
        <v>145</v>
      </c>
      <c r="M21" s="634" t="s">
        <v>143</v>
      </c>
    </row>
    <row r="22" spans="2:13" s="11" customFormat="1" ht="15" customHeight="1" x14ac:dyDescent="0.3">
      <c r="B22" s="72">
        <v>18</v>
      </c>
      <c r="F22" s="120" t="s">
        <v>141</v>
      </c>
      <c r="G22" s="288"/>
      <c r="H22" s="269" t="s">
        <v>347</v>
      </c>
      <c r="I22" s="136">
        <v>12000</v>
      </c>
      <c r="J22" s="141" t="s">
        <v>21</v>
      </c>
      <c r="L22" s="634" t="s">
        <v>145</v>
      </c>
      <c r="M22" s="634" t="s">
        <v>143</v>
      </c>
    </row>
    <row r="23" spans="2:13" s="145" customFormat="1" ht="15" customHeight="1" x14ac:dyDescent="0.3">
      <c r="B23" s="72">
        <v>19</v>
      </c>
      <c r="F23" s="13"/>
      <c r="G23" s="282"/>
      <c r="H23" s="271" t="s">
        <v>61</v>
      </c>
      <c r="I23" s="137">
        <v>0.02</v>
      </c>
      <c r="J23" s="144" t="s">
        <v>60</v>
      </c>
      <c r="L23" s="634" t="s">
        <v>145</v>
      </c>
      <c r="M23" s="634" t="s">
        <v>143</v>
      </c>
    </row>
    <row r="24" spans="2:13" s="131" customFormat="1" ht="15" customHeight="1" x14ac:dyDescent="0.3">
      <c r="B24" s="72">
        <v>20</v>
      </c>
      <c r="F24" s="138"/>
      <c r="G24" s="291"/>
      <c r="H24" s="272" t="s">
        <v>71</v>
      </c>
      <c r="I24" s="136">
        <v>5</v>
      </c>
      <c r="J24" s="142" t="s">
        <v>70</v>
      </c>
      <c r="L24" s="634" t="s">
        <v>145</v>
      </c>
      <c r="M24" s="634" t="s">
        <v>143</v>
      </c>
    </row>
    <row r="25" spans="2:13" s="145" customFormat="1" ht="15" customHeight="1" thickBot="1" x14ac:dyDescent="0.35">
      <c r="B25" s="72">
        <v>21</v>
      </c>
      <c r="F25" s="120" t="s">
        <v>37</v>
      </c>
      <c r="G25" s="283"/>
      <c r="H25" s="276" t="s">
        <v>63</v>
      </c>
      <c r="I25" s="204">
        <v>2.5000000000000001E-2</v>
      </c>
      <c r="J25" s="205" t="s">
        <v>60</v>
      </c>
      <c r="L25" s="634" t="s">
        <v>144</v>
      </c>
      <c r="M25" s="634" t="s">
        <v>143</v>
      </c>
    </row>
    <row r="26" spans="2:13" s="143" customFormat="1" ht="15" customHeight="1" thickBot="1" x14ac:dyDescent="0.35">
      <c r="B26" s="72">
        <v>22</v>
      </c>
      <c r="F26" s="206" t="s">
        <v>125</v>
      </c>
      <c r="G26" s="284" t="s">
        <v>330</v>
      </c>
      <c r="H26" s="277" t="s">
        <v>348</v>
      </c>
      <c r="I26" s="207">
        <v>0.2</v>
      </c>
      <c r="J26" s="208" t="s">
        <v>60</v>
      </c>
      <c r="L26" s="635" t="s">
        <v>145</v>
      </c>
      <c r="M26" s="635" t="s">
        <v>143</v>
      </c>
    </row>
    <row r="27" spans="2:13" ht="15" customHeight="1" x14ac:dyDescent="0.3">
      <c r="B27" s="72">
        <v>23</v>
      </c>
      <c r="F27" s="209" t="s">
        <v>252</v>
      </c>
      <c r="G27" s="285"/>
      <c r="H27" s="728" t="s">
        <v>637</v>
      </c>
      <c r="I27" s="210">
        <v>0.15</v>
      </c>
      <c r="J27" s="201" t="s">
        <v>60</v>
      </c>
      <c r="L27" s="636" t="s">
        <v>144</v>
      </c>
      <c r="M27" s="636" t="s">
        <v>143</v>
      </c>
    </row>
    <row r="28" spans="2:13" ht="15" customHeight="1" x14ac:dyDescent="0.3">
      <c r="B28" s="72">
        <v>24</v>
      </c>
      <c r="F28" s="193"/>
      <c r="G28" s="286"/>
      <c r="H28" s="775" t="s">
        <v>646</v>
      </c>
      <c r="I28" s="137">
        <v>0.01</v>
      </c>
      <c r="J28" s="140" t="s">
        <v>60</v>
      </c>
      <c r="L28" s="408" t="s">
        <v>144</v>
      </c>
      <c r="M28" s="408" t="s">
        <v>143</v>
      </c>
    </row>
    <row r="29" spans="2:13" ht="15" customHeight="1" thickBot="1" x14ac:dyDescent="0.35">
      <c r="B29" s="72">
        <v>25</v>
      </c>
      <c r="F29" s="211"/>
      <c r="G29" s="287"/>
      <c r="H29" s="727" t="s">
        <v>636</v>
      </c>
      <c r="I29" s="202">
        <v>1.4999999999999999E-2</v>
      </c>
      <c r="J29" s="203" t="s">
        <v>60</v>
      </c>
      <c r="L29" s="637" t="s">
        <v>144</v>
      </c>
      <c r="M29" s="637" t="s">
        <v>143</v>
      </c>
    </row>
    <row r="30" spans="2:13" ht="16.2" thickBot="1" x14ac:dyDescent="0.35">
      <c r="B30" s="72"/>
      <c r="F30" s="699" t="s">
        <v>618</v>
      </c>
      <c r="G30" s="700"/>
      <c r="H30" s="700" t="s">
        <v>619</v>
      </c>
    </row>
  </sheetData>
  <sheetProtection sheet="1" objects="1" scenarios="1"/>
  <pageMargins left="0.7" right="0.7" top="0.75" bottom="0.75" header="0.3" footer="0.3"/>
  <pageSetup paperSize="9" scale="6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89D38-4A86-4F00-B511-E55A31CDDCEE}">
  <sheetPr codeName="Sheet3"/>
  <dimension ref="A1:P130"/>
  <sheetViews>
    <sheetView zoomScaleNormal="100" workbookViewId="0">
      <pane xSplit="10" ySplit="5" topLeftCell="K6" activePane="bottomRight" state="frozen"/>
      <selection activeCell="K6" sqref="K6"/>
      <selection pane="topRight" activeCell="K6" sqref="K6"/>
      <selection pane="bottomLeft" activeCell="K6" sqref="K6"/>
      <selection pane="bottomRight" activeCell="K6" sqref="K6"/>
    </sheetView>
  </sheetViews>
  <sheetFormatPr defaultColWidth="9.109375" defaultRowHeight="13.2" x14ac:dyDescent="0.3"/>
  <cols>
    <col min="1" max="1" width="9.88671875" style="3" customWidth="1"/>
    <col min="2" max="3" width="2.88671875" style="3" customWidth="1"/>
    <col min="4" max="6" width="9.33203125" style="3" customWidth="1"/>
    <col min="7" max="7" width="48.109375" style="3" bestFit="1" customWidth="1"/>
    <col min="8" max="8" width="10.5546875" style="3" bestFit="1" customWidth="1"/>
    <col min="9" max="9" width="9.109375" style="3" customWidth="1"/>
    <col min="10" max="10" width="2.109375" style="3" customWidth="1"/>
    <col min="11" max="16" width="8.5546875" style="3" customWidth="1"/>
    <col min="17" max="16384" width="9.109375" style="3"/>
  </cols>
  <sheetData>
    <row r="1" spans="1:16" s="62" customFormat="1" ht="37.5" customHeight="1" x14ac:dyDescent="0.3">
      <c r="A1" s="59"/>
      <c r="B1" s="59"/>
      <c r="C1" s="59"/>
      <c r="D1" s="60"/>
      <c r="E1" s="61"/>
      <c r="F1" s="61"/>
    </row>
    <row r="2" spans="1:16" s="53" customFormat="1" x14ac:dyDescent="0.3">
      <c r="A2" s="63"/>
      <c r="B2" s="63"/>
      <c r="C2" s="63"/>
      <c r="D2" s="64"/>
      <c r="E2" s="65"/>
      <c r="F2" s="65"/>
      <c r="K2" s="53">
        <v>0</v>
      </c>
      <c r="L2" s="53">
        <v>1</v>
      </c>
      <c r="M2" s="53">
        <v>2</v>
      </c>
      <c r="N2" s="53">
        <v>3</v>
      </c>
      <c r="O2" s="53">
        <v>4</v>
      </c>
      <c r="P2" s="53">
        <v>5</v>
      </c>
    </row>
    <row r="3" spans="1:16" s="69" customFormat="1" ht="4.8" thickBot="1" x14ac:dyDescent="0.35">
      <c r="A3" s="66"/>
      <c r="B3" s="66"/>
      <c r="C3" s="66"/>
      <c r="D3" s="67"/>
      <c r="E3" s="68"/>
      <c r="F3" s="68"/>
      <c r="K3" s="70"/>
      <c r="L3" s="70"/>
      <c r="M3" s="70"/>
      <c r="N3" s="70"/>
      <c r="O3" s="70"/>
      <c r="P3" s="70"/>
    </row>
    <row r="4" spans="1:16" s="47" customFormat="1" ht="37.799999999999997" thickBot="1" x14ac:dyDescent="0.35">
      <c r="A4" s="71" t="s">
        <v>50</v>
      </c>
      <c r="B4" s="71"/>
      <c r="C4" s="71"/>
      <c r="D4" s="405" t="s">
        <v>1</v>
      </c>
      <c r="E4" s="403" t="s">
        <v>2</v>
      </c>
      <c r="F4" s="404" t="s">
        <v>3</v>
      </c>
      <c r="G4" s="779" t="s">
        <v>647</v>
      </c>
      <c r="H4" s="47" t="s">
        <v>33</v>
      </c>
      <c r="I4" s="47" t="s">
        <v>32</v>
      </c>
      <c r="K4" s="47">
        <v>2022</v>
      </c>
      <c r="L4" s="47">
        <v>2023</v>
      </c>
      <c r="M4" s="47">
        <v>2024</v>
      </c>
      <c r="N4" s="47">
        <v>2025</v>
      </c>
      <c r="O4" s="47">
        <v>2026</v>
      </c>
      <c r="P4" s="47">
        <v>2027</v>
      </c>
    </row>
    <row r="5" spans="1:16" s="33" customFormat="1" x14ac:dyDescent="0.3">
      <c r="A5" s="72"/>
      <c r="B5" s="72"/>
      <c r="C5" s="72"/>
      <c r="D5" s="73"/>
      <c r="E5" s="74"/>
      <c r="F5" s="74"/>
      <c r="G5" s="38"/>
      <c r="H5" s="34"/>
      <c r="I5" s="37"/>
      <c r="J5" s="36"/>
      <c r="K5" s="34"/>
      <c r="L5" s="34"/>
      <c r="M5" s="34"/>
      <c r="N5" s="34"/>
      <c r="O5" s="34"/>
      <c r="P5" s="34"/>
    </row>
    <row r="6" spans="1:16" s="11" customFormat="1" x14ac:dyDescent="0.3">
      <c r="A6" s="82"/>
      <c r="B6" s="82"/>
      <c r="C6" s="82"/>
      <c r="D6" s="76"/>
      <c r="E6" s="76"/>
      <c r="F6" s="15"/>
      <c r="I6" s="14"/>
    </row>
    <row r="7" spans="1:16" s="90" customFormat="1" ht="15.6" x14ac:dyDescent="0.3">
      <c r="A7" s="87"/>
      <c r="B7" s="87"/>
      <c r="C7" s="87"/>
      <c r="D7" s="88"/>
      <c r="E7" s="88"/>
      <c r="F7" s="89"/>
      <c r="G7" s="90" t="s">
        <v>186</v>
      </c>
      <c r="I7" s="91"/>
    </row>
    <row r="8" spans="1:16" s="11" customFormat="1" x14ac:dyDescent="0.3">
      <c r="A8" s="82"/>
      <c r="B8" s="82"/>
      <c r="C8" s="82"/>
      <c r="D8" s="76"/>
      <c r="E8" s="76"/>
      <c r="F8" s="15"/>
      <c r="I8" s="14"/>
    </row>
    <row r="9" spans="1:16" s="108" customFormat="1" x14ac:dyDescent="0.3">
      <c r="A9" s="103">
        <f xml:space="preserve"> Assumptions!B$5</f>
        <v>1</v>
      </c>
      <c r="B9" s="103"/>
      <c r="C9" s="103"/>
      <c r="D9" s="105"/>
      <c r="E9" s="105"/>
      <c r="F9" s="105"/>
      <c r="G9" s="106" t="str">
        <f xml:space="preserve"> Assumptions!H$5</f>
        <v>Project length</v>
      </c>
      <c r="H9" s="108">
        <f xml:space="preserve"> Assumptions!I$5</f>
        <v>5</v>
      </c>
      <c r="I9" s="107" t="str">
        <f xml:space="preserve"> Assumptions!J$5</f>
        <v>y</v>
      </c>
      <c r="J9" s="106"/>
    </row>
    <row r="10" spans="1:16" s="131" customFormat="1" x14ac:dyDescent="0.3">
      <c r="A10" s="130"/>
      <c r="B10" s="130"/>
      <c r="C10" s="130"/>
      <c r="D10" s="76"/>
      <c r="E10" s="76"/>
      <c r="F10" s="76"/>
      <c r="G10" s="11" t="s">
        <v>184</v>
      </c>
      <c r="I10" s="14" t="s">
        <v>183</v>
      </c>
      <c r="J10" s="11"/>
      <c r="K10" s="131">
        <f t="shared" ref="K10:P10" si="0" xml:space="preserve"> IF( K$2=0, 1, 0 )</f>
        <v>1</v>
      </c>
      <c r="L10" s="131">
        <f t="shared" si="0"/>
        <v>0</v>
      </c>
      <c r="M10" s="131">
        <f t="shared" si="0"/>
        <v>0</v>
      </c>
      <c r="N10" s="131">
        <f t="shared" si="0"/>
        <v>0</v>
      </c>
      <c r="O10" s="131">
        <f t="shared" si="0"/>
        <v>0</v>
      </c>
      <c r="P10" s="131">
        <f t="shared" si="0"/>
        <v>0</v>
      </c>
    </row>
    <row r="11" spans="1:16" s="131" customFormat="1" x14ac:dyDescent="0.3">
      <c r="A11" s="130"/>
      <c r="B11" s="130"/>
      <c r="C11" s="130"/>
      <c r="D11" s="76"/>
      <c r="E11" s="76"/>
      <c r="F11" s="76"/>
      <c r="G11" s="11" t="s">
        <v>182</v>
      </c>
      <c r="I11" s="14" t="s">
        <v>183</v>
      </c>
      <c r="J11" s="11"/>
      <c r="K11" s="131">
        <f t="shared" ref="K11:P11" si="1" xml:space="preserve"> IF( AND( K$2&gt;0, K$2&lt;=$H9), 1, 0 )</f>
        <v>0</v>
      </c>
      <c r="L11" s="131">
        <f t="shared" si="1"/>
        <v>1</v>
      </c>
      <c r="M11" s="131">
        <f t="shared" si="1"/>
        <v>1</v>
      </c>
      <c r="N11" s="131">
        <f t="shared" si="1"/>
        <v>1</v>
      </c>
      <c r="O11" s="131">
        <f t="shared" si="1"/>
        <v>1</v>
      </c>
      <c r="P11" s="131">
        <f t="shared" si="1"/>
        <v>1</v>
      </c>
    </row>
    <row r="12" spans="1:16" s="11" customFormat="1" x14ac:dyDescent="0.3">
      <c r="A12" s="82"/>
      <c r="B12" s="82"/>
      <c r="C12" s="82"/>
      <c r="D12" s="76"/>
      <c r="E12" s="76"/>
      <c r="F12" s="15"/>
      <c r="G12" s="11" t="s">
        <v>185</v>
      </c>
      <c r="I12" s="14" t="s">
        <v>183</v>
      </c>
      <c r="K12" s="131">
        <f t="shared" ref="K12:P12" si="2" xml:space="preserve"> IF( K$2=$H9, 1, 0 )</f>
        <v>0</v>
      </c>
      <c r="L12" s="131">
        <f t="shared" si="2"/>
        <v>0</v>
      </c>
      <c r="M12" s="131">
        <f t="shared" si="2"/>
        <v>0</v>
      </c>
      <c r="N12" s="131">
        <f t="shared" si="2"/>
        <v>0</v>
      </c>
      <c r="O12" s="131">
        <f t="shared" si="2"/>
        <v>0</v>
      </c>
      <c r="P12" s="131">
        <f t="shared" si="2"/>
        <v>1</v>
      </c>
    </row>
    <row r="13" spans="1:16" s="11" customFormat="1" x14ac:dyDescent="0.3">
      <c r="A13" s="82"/>
      <c r="B13" s="82"/>
      <c r="C13" s="82"/>
      <c r="D13" s="76"/>
      <c r="E13" s="76"/>
      <c r="F13" s="15"/>
      <c r="I13" s="14"/>
    </row>
    <row r="14" spans="1:16" s="108" customFormat="1" x14ac:dyDescent="0.3">
      <c r="A14" s="103">
        <f xml:space="preserve"> Assumptions!B$24</f>
        <v>20</v>
      </c>
      <c r="B14" s="103"/>
      <c r="C14" s="103"/>
      <c r="D14" s="105"/>
      <c r="E14" s="105"/>
      <c r="F14" s="105"/>
      <c r="G14" s="106" t="str">
        <f xml:space="preserve"> Assumptions!H$24</f>
        <v>Loan reimbursement periods</v>
      </c>
      <c r="H14" s="108">
        <f xml:space="preserve"> Assumptions!I$24</f>
        <v>5</v>
      </c>
      <c r="I14" s="107" t="str">
        <f xml:space="preserve"> Assumptions!J$24</f>
        <v>y</v>
      </c>
      <c r="J14" s="106"/>
    </row>
    <row r="15" spans="1:16" s="131" customFormat="1" x14ac:dyDescent="0.3">
      <c r="A15" s="130"/>
      <c r="B15" s="130"/>
      <c r="C15" s="130"/>
      <c r="D15" s="76"/>
      <c r="E15" s="76"/>
      <c r="F15" s="76"/>
      <c r="G15" s="11" t="s">
        <v>187</v>
      </c>
      <c r="I15" s="14" t="s">
        <v>183</v>
      </c>
      <c r="J15" s="11"/>
      <c r="K15" s="131">
        <f t="shared" ref="K15:P15" si="3" xml:space="preserve"> IF( AND( K$2&gt;0, K$2&lt;=$H14), 1, 0 )</f>
        <v>0</v>
      </c>
      <c r="L15" s="131">
        <f t="shared" si="3"/>
        <v>1</v>
      </c>
      <c r="M15" s="131">
        <f t="shared" si="3"/>
        <v>1</v>
      </c>
      <c r="N15" s="131">
        <f t="shared" si="3"/>
        <v>1</v>
      </c>
      <c r="O15" s="131">
        <f t="shared" si="3"/>
        <v>1</v>
      </c>
      <c r="P15" s="131">
        <f t="shared" si="3"/>
        <v>1</v>
      </c>
    </row>
    <row r="16" spans="1:16" s="11" customFormat="1" x14ac:dyDescent="0.3">
      <c r="A16" s="82"/>
      <c r="B16" s="82"/>
      <c r="C16" s="82"/>
      <c r="D16" s="76"/>
      <c r="E16" s="76"/>
      <c r="F16" s="15"/>
      <c r="I16" s="14"/>
    </row>
    <row r="17" spans="1:16" s="11" customFormat="1" x14ac:dyDescent="0.3">
      <c r="A17" s="82"/>
      <c r="B17" s="82"/>
      <c r="C17" s="82"/>
      <c r="D17" s="76"/>
      <c r="E17" s="76"/>
      <c r="F17" s="15"/>
      <c r="I17" s="14"/>
    </row>
    <row r="18" spans="1:16" s="90" customFormat="1" ht="15.6" x14ac:dyDescent="0.3">
      <c r="A18" s="87"/>
      <c r="B18" s="87"/>
      <c r="C18" s="87"/>
      <c r="D18" s="88"/>
      <c r="E18" s="88"/>
      <c r="F18" s="89"/>
      <c r="G18" s="90" t="str">
        <f xml:space="preserve"> Assumptions!F6</f>
        <v>Fixed Assets</v>
      </c>
      <c r="I18" s="91"/>
    </row>
    <row r="19" spans="1:16" s="11" customFormat="1" x14ac:dyDescent="0.3">
      <c r="A19" s="82"/>
      <c r="B19" s="82"/>
      <c r="C19" s="82"/>
      <c r="D19" s="76"/>
      <c r="E19" s="76"/>
      <c r="F19" s="15"/>
      <c r="I19" s="14"/>
    </row>
    <row r="20" spans="1:16" s="106" customFormat="1" x14ac:dyDescent="0.3">
      <c r="A20" s="103">
        <f xml:space="preserve"> Assumptions!B$6</f>
        <v>2</v>
      </c>
      <c r="B20" s="103"/>
      <c r="C20" s="103"/>
      <c r="D20" s="105"/>
      <c r="E20" s="104"/>
      <c r="F20" s="104"/>
      <c r="G20" s="106" t="str">
        <f xml:space="preserve"> Assumptions!H$6</f>
        <v>Investment</v>
      </c>
      <c r="H20" s="106">
        <f xml:space="preserve"> Assumptions!I$6</f>
        <v>20000</v>
      </c>
      <c r="I20" s="107" t="str">
        <f xml:space="preserve"> Assumptions!J$6</f>
        <v>$</v>
      </c>
    </row>
    <row r="21" spans="1:16" s="119" customFormat="1" x14ac:dyDescent="0.3">
      <c r="A21" s="132"/>
      <c r="B21" s="132"/>
      <c r="C21" s="132"/>
      <c r="D21" s="79"/>
      <c r="E21" s="79"/>
      <c r="F21" s="79"/>
      <c r="G21" s="80" t="str">
        <f xml:space="preserve"> G$10</f>
        <v>Investment period flag</v>
      </c>
      <c r="I21" s="81" t="str">
        <f xml:space="preserve"> I$10</f>
        <v>flag</v>
      </c>
      <c r="J21" s="80"/>
      <c r="K21" s="119">
        <f t="shared" ref="K21:P21" si="4" xml:space="preserve"> K$10</f>
        <v>1</v>
      </c>
      <c r="L21" s="119">
        <f t="shared" si="4"/>
        <v>0</v>
      </c>
      <c r="M21" s="119">
        <f t="shared" si="4"/>
        <v>0</v>
      </c>
      <c r="N21" s="119">
        <f t="shared" si="4"/>
        <v>0</v>
      </c>
      <c r="O21" s="119">
        <f t="shared" si="4"/>
        <v>0</v>
      </c>
      <c r="P21" s="119">
        <f t="shared" si="4"/>
        <v>0</v>
      </c>
    </row>
    <row r="22" spans="1:16" s="11" customFormat="1" ht="14.4" x14ac:dyDescent="0.3">
      <c r="A22" s="72"/>
      <c r="B22" s="72"/>
      <c r="C22" s="72"/>
      <c r="D22" s="76"/>
      <c r="E22" s="76"/>
      <c r="F22" s="413" t="s">
        <v>234</v>
      </c>
      <c r="G22" s="95" t="str">
        <f xml:space="preserve"> INDEX( SplitScreenStrip!$13:$23, MATCH( $F22, SplitScreenStrip!$F$13:$F$23, 0 ), MATCH( $F$4, SplitScreenStrip!$11:$11, 0 ) )</f>
        <v xml:space="preserve"> + Asset disposal (net of capital expenditures)</v>
      </c>
      <c r="I22" s="32" t="s">
        <v>21</v>
      </c>
      <c r="K22" s="95">
        <f t="shared" ref="K22:P22" si="5" xml:space="preserve"> $H20 * K21</f>
        <v>20000</v>
      </c>
      <c r="L22" s="95">
        <f t="shared" si="5"/>
        <v>0</v>
      </c>
      <c r="M22" s="95">
        <f t="shared" si="5"/>
        <v>0</v>
      </c>
      <c r="N22" s="95">
        <f t="shared" si="5"/>
        <v>0</v>
      </c>
      <c r="O22" s="95">
        <f t="shared" si="5"/>
        <v>0</v>
      </c>
      <c r="P22" s="95">
        <f t="shared" si="5"/>
        <v>0</v>
      </c>
    </row>
    <row r="23" spans="1:16" s="11" customFormat="1" x14ac:dyDescent="0.3">
      <c r="A23" s="82"/>
      <c r="B23" s="82"/>
      <c r="C23" s="82"/>
      <c r="D23" s="76"/>
      <c r="E23" s="76"/>
      <c r="F23" s="15"/>
      <c r="I23" s="14"/>
    </row>
    <row r="24" spans="1:16" s="106" customFormat="1" x14ac:dyDescent="0.3">
      <c r="A24" s="103">
        <f xml:space="preserve"> Assumptions!B$6</f>
        <v>2</v>
      </c>
      <c r="B24" s="103"/>
      <c r="C24" s="103"/>
      <c r="D24" s="105"/>
      <c r="E24" s="104"/>
      <c r="F24" s="104"/>
      <c r="G24" s="106" t="str">
        <f xml:space="preserve"> Assumptions!H$6</f>
        <v>Investment</v>
      </c>
      <c r="H24" s="106">
        <f xml:space="preserve"> Assumptions!I$6</f>
        <v>20000</v>
      </c>
      <c r="I24" s="107" t="str">
        <f xml:space="preserve"> Assumptions!J$6</f>
        <v>$</v>
      </c>
    </row>
    <row r="25" spans="1:16" s="118" customFormat="1" x14ac:dyDescent="0.3">
      <c r="A25" s="110">
        <f xml:space="preserve"> Assumptions!B$5</f>
        <v>1</v>
      </c>
      <c r="B25" s="110"/>
      <c r="C25" s="110"/>
      <c r="D25" s="111"/>
      <c r="E25" s="111"/>
      <c r="F25" s="111"/>
      <c r="G25" s="112" t="str">
        <f xml:space="preserve"> Assumptions!H$5</f>
        <v>Project length</v>
      </c>
      <c r="H25" s="118">
        <f xml:space="preserve"> Assumptions!I$5</f>
        <v>5</v>
      </c>
      <c r="I25" s="113" t="str">
        <f xml:space="preserve"> Assumptions!J$5</f>
        <v>y</v>
      </c>
      <c r="J25" s="112"/>
    </row>
    <row r="26" spans="1:16" s="11" customFormat="1" x14ac:dyDescent="0.3">
      <c r="A26" s="130"/>
      <c r="B26" s="130"/>
      <c r="C26" s="130"/>
      <c r="D26" s="76"/>
      <c r="E26" s="15"/>
      <c r="F26" s="15"/>
      <c r="G26" s="11" t="s">
        <v>120</v>
      </c>
      <c r="H26" s="11">
        <f xml:space="preserve"> H24 / H25</f>
        <v>4000</v>
      </c>
      <c r="I26" s="14" t="s">
        <v>21</v>
      </c>
    </row>
    <row r="27" spans="1:16" s="11" customFormat="1" x14ac:dyDescent="0.3">
      <c r="A27" s="82"/>
      <c r="B27" s="82"/>
      <c r="C27" s="82"/>
      <c r="D27" s="76"/>
      <c r="E27" s="76"/>
      <c r="F27" s="15"/>
      <c r="I27" s="14"/>
    </row>
    <row r="28" spans="1:16" s="106" customFormat="1" x14ac:dyDescent="0.3">
      <c r="A28" s="103">
        <f xml:space="preserve"> Assumptions!B$7</f>
        <v>3</v>
      </c>
      <c r="B28" s="103"/>
      <c r="C28" s="103"/>
      <c r="D28" s="105"/>
      <c r="E28" s="104"/>
      <c r="F28" s="104"/>
      <c r="G28" s="106" t="str">
        <f xml:space="preserve"> Assumptions!H$7</f>
        <v>Depreciation</v>
      </c>
      <c r="H28" s="108" t="str">
        <f xml:space="preserve"> Assumptions!I$7</f>
        <v>straight-line</v>
      </c>
      <c r="I28" s="107"/>
    </row>
    <row r="29" spans="1:16" s="115" customFormat="1" x14ac:dyDescent="0.3">
      <c r="A29" s="151"/>
      <c r="B29" s="151"/>
      <c r="C29" s="151"/>
      <c r="D29" s="114"/>
      <c r="E29" s="156"/>
      <c r="F29" s="156"/>
      <c r="G29" s="115" t="str">
        <f xml:space="preserve"> G$26</f>
        <v>Depreciation</v>
      </c>
      <c r="H29" s="115">
        <f xml:space="preserve"> H$26</f>
        <v>4000</v>
      </c>
      <c r="I29" s="116" t="str">
        <f xml:space="preserve"> I$26</f>
        <v>$</v>
      </c>
    </row>
    <row r="30" spans="1:16" s="119" customFormat="1" x14ac:dyDescent="0.3">
      <c r="A30" s="132"/>
      <c r="B30" s="132"/>
      <c r="C30" s="132"/>
      <c r="D30" s="79"/>
      <c r="E30" s="79"/>
      <c r="F30" s="79"/>
      <c r="G30" s="80" t="str">
        <f xml:space="preserve"> G$11</f>
        <v>Project period flag</v>
      </c>
      <c r="I30" s="81" t="str">
        <f xml:space="preserve"> I$11</f>
        <v>flag</v>
      </c>
      <c r="J30" s="80"/>
      <c r="K30" s="119">
        <f t="shared" ref="K30:P30" si="6" xml:space="preserve"> K$11</f>
        <v>0</v>
      </c>
      <c r="L30" s="119">
        <f t="shared" si="6"/>
        <v>1</v>
      </c>
      <c r="M30" s="119">
        <f t="shared" si="6"/>
        <v>1</v>
      </c>
      <c r="N30" s="119">
        <f t="shared" si="6"/>
        <v>1</v>
      </c>
      <c r="O30" s="119">
        <f t="shared" si="6"/>
        <v>1</v>
      </c>
      <c r="P30" s="119">
        <f t="shared" si="6"/>
        <v>1</v>
      </c>
    </row>
    <row r="31" spans="1:16" s="11" customFormat="1" ht="15" customHeight="1" x14ac:dyDescent="0.3">
      <c r="A31" s="72"/>
      <c r="B31" s="72"/>
      <c r="C31" s="72"/>
      <c r="D31" s="76"/>
      <c r="E31" s="416" t="s">
        <v>15</v>
      </c>
      <c r="F31" s="76"/>
      <c r="G31" s="95" t="str">
        <f xml:space="preserve"> INDEX( SplitScreenStrip!$13:$23, MATCH( $E31, SplitScreenStrip!$E$13:$E$23, 0 ), MATCH( $E$4, SplitScreenStrip!$11:$11, 0 ) )</f>
        <v xml:space="preserve"> – Depreciation</v>
      </c>
      <c r="I31" s="32" t="s">
        <v>21</v>
      </c>
      <c r="K31" s="95">
        <f t="shared" ref="K31:P31" si="7" xml:space="preserve"> (-1) * $H29 * K30</f>
        <v>0</v>
      </c>
      <c r="L31" s="95">
        <f t="shared" si="7"/>
        <v>-4000</v>
      </c>
      <c r="M31" s="95">
        <f t="shared" si="7"/>
        <v>-4000</v>
      </c>
      <c r="N31" s="95">
        <f t="shared" si="7"/>
        <v>-4000</v>
      </c>
      <c r="O31" s="95">
        <f t="shared" si="7"/>
        <v>-4000</v>
      </c>
      <c r="P31" s="95">
        <f t="shared" si="7"/>
        <v>-4000</v>
      </c>
    </row>
    <row r="32" spans="1:16" s="11" customFormat="1" x14ac:dyDescent="0.3">
      <c r="A32" s="75"/>
      <c r="B32" s="75"/>
      <c r="C32" s="75"/>
      <c r="D32" s="76"/>
      <c r="E32" s="76"/>
      <c r="F32" s="76"/>
      <c r="I32" s="32"/>
    </row>
    <row r="33" spans="1:16" s="11" customFormat="1" x14ac:dyDescent="0.3">
      <c r="A33" s="82"/>
      <c r="B33" s="82"/>
      <c r="C33" s="82"/>
      <c r="D33" s="76"/>
      <c r="E33" s="76"/>
      <c r="F33" s="15"/>
      <c r="I33" s="14"/>
    </row>
    <row r="34" spans="1:16" s="90" customFormat="1" ht="15.6" x14ac:dyDescent="0.3">
      <c r="A34" s="87"/>
      <c r="B34" s="87"/>
      <c r="C34" s="87"/>
      <c r="D34" s="88"/>
      <c r="E34" s="88"/>
      <c r="F34" s="89"/>
      <c r="G34" s="90" t="str">
        <f xml:space="preserve"> Assumptions!F8</f>
        <v>Sales</v>
      </c>
      <c r="I34" s="91"/>
    </row>
    <row r="35" spans="1:16" s="11" customFormat="1" x14ac:dyDescent="0.3">
      <c r="A35" s="82"/>
      <c r="B35" s="82"/>
      <c r="C35" s="82"/>
      <c r="D35" s="76"/>
      <c r="E35" s="76"/>
      <c r="F35" s="15"/>
      <c r="I35" s="14"/>
    </row>
    <row r="36" spans="1:16" s="108" customFormat="1" x14ac:dyDescent="0.3">
      <c r="A36" s="103">
        <f xml:space="preserve"> Assumptions!B$8</f>
        <v>4</v>
      </c>
      <c r="B36" s="103"/>
      <c r="C36" s="103"/>
      <c r="D36" s="105"/>
      <c r="E36" s="105"/>
      <c r="F36" s="105"/>
      <c r="G36" s="106" t="str">
        <f xml:space="preserve"> Assumptions!H$8</f>
        <v>Sales projection of the first period</v>
      </c>
      <c r="H36" s="108">
        <f xml:space="preserve"> Assumptions!I$8</f>
        <v>6000</v>
      </c>
      <c r="I36" s="107" t="str">
        <f xml:space="preserve"> Assumptions!J$8</f>
        <v>u</v>
      </c>
      <c r="J36" s="106"/>
    </row>
    <row r="37" spans="1:16" s="109" customFormat="1" x14ac:dyDescent="0.3">
      <c r="A37" s="103">
        <f xml:space="preserve"> Assumptions!B$9</f>
        <v>5</v>
      </c>
      <c r="B37" s="103"/>
      <c r="C37" s="103"/>
      <c r="D37" s="105"/>
      <c r="E37" s="105"/>
      <c r="F37" s="105"/>
      <c r="G37" s="106" t="str">
        <f xml:space="preserve"> Assumptions!H$9</f>
        <v>Growth rate (%/year)</v>
      </c>
      <c r="H37" s="109">
        <f xml:space="preserve"> Assumptions!I$9</f>
        <v>0.1</v>
      </c>
      <c r="I37" s="107" t="str">
        <f xml:space="preserve"> Assumptions!J$9</f>
        <v>% / y</v>
      </c>
      <c r="J37" s="106"/>
    </row>
    <row r="38" spans="1:16" s="119" customFormat="1" x14ac:dyDescent="0.3">
      <c r="A38" s="132"/>
      <c r="B38" s="132"/>
      <c r="C38" s="132"/>
      <c r="D38" s="79"/>
      <c r="E38" s="79"/>
      <c r="F38" s="79"/>
      <c r="G38" s="80" t="str">
        <f xml:space="preserve"> G$11</f>
        <v>Project period flag</v>
      </c>
      <c r="I38" s="81" t="str">
        <f xml:space="preserve"> I$11</f>
        <v>flag</v>
      </c>
      <c r="J38" s="80"/>
      <c r="K38" s="119">
        <f t="shared" ref="K38:P38" si="8" xml:space="preserve"> K$11</f>
        <v>0</v>
      </c>
      <c r="L38" s="119">
        <f t="shared" si="8"/>
        <v>1</v>
      </c>
      <c r="M38" s="119">
        <f t="shared" si="8"/>
        <v>1</v>
      </c>
      <c r="N38" s="119">
        <f t="shared" si="8"/>
        <v>1</v>
      </c>
      <c r="O38" s="119">
        <f t="shared" si="8"/>
        <v>1</v>
      </c>
      <c r="P38" s="119">
        <f t="shared" si="8"/>
        <v>1</v>
      </c>
    </row>
    <row r="39" spans="1:16" s="83" customFormat="1" x14ac:dyDescent="0.3">
      <c r="A39" s="84"/>
      <c r="B39" s="84"/>
      <c r="C39" s="84"/>
      <c r="D39" s="85"/>
      <c r="E39" s="85"/>
      <c r="F39" s="85"/>
      <c r="G39" s="13" t="s">
        <v>606</v>
      </c>
      <c r="I39" s="86" t="s">
        <v>64</v>
      </c>
      <c r="J39" s="13"/>
      <c r="K39" s="83">
        <f t="shared" ref="K39:P39" si="9" xml:space="preserve"> ROUND( $H$36 * ( 1 + $H$37 ) ^ ( K2 - 1 ), 0 ) * K38</f>
        <v>0</v>
      </c>
      <c r="L39" s="83">
        <f t="shared" si="9"/>
        <v>6000</v>
      </c>
      <c r="M39" s="83">
        <f t="shared" si="9"/>
        <v>6600</v>
      </c>
      <c r="N39" s="83">
        <f t="shared" si="9"/>
        <v>7260</v>
      </c>
      <c r="O39" s="83">
        <f t="shared" si="9"/>
        <v>7986</v>
      </c>
      <c r="P39" s="83">
        <f t="shared" si="9"/>
        <v>8785</v>
      </c>
    </row>
    <row r="40" spans="1:16" s="83" customFormat="1" x14ac:dyDescent="0.3">
      <c r="A40" s="84"/>
      <c r="B40" s="84"/>
      <c r="C40" s="84"/>
      <c r="D40" s="85"/>
      <c r="E40" s="85"/>
      <c r="F40" s="85"/>
      <c r="G40" s="13"/>
      <c r="I40" s="86"/>
      <c r="J40" s="13"/>
    </row>
    <row r="41" spans="1:16" s="152" customFormat="1" x14ac:dyDescent="0.3">
      <c r="A41" s="151"/>
      <c r="B41" s="151"/>
      <c r="C41" s="151"/>
      <c r="D41" s="114"/>
      <c r="E41" s="114"/>
      <c r="F41" s="114"/>
      <c r="G41" s="115" t="str">
        <f xml:space="preserve"> G$39</f>
        <v>Units sold</v>
      </c>
      <c r="I41" s="116" t="str">
        <f xml:space="preserve"> I$39</f>
        <v>u</v>
      </c>
      <c r="J41" s="115"/>
      <c r="K41" s="152">
        <f t="shared" ref="K41:P41" si="10" xml:space="preserve"> K$39</f>
        <v>0</v>
      </c>
      <c r="L41" s="152">
        <f t="shared" si="10"/>
        <v>6000</v>
      </c>
      <c r="M41" s="152">
        <f t="shared" si="10"/>
        <v>6600</v>
      </c>
      <c r="N41" s="152">
        <f t="shared" si="10"/>
        <v>7260</v>
      </c>
      <c r="O41" s="152">
        <f t="shared" si="10"/>
        <v>7986</v>
      </c>
      <c r="P41" s="152">
        <f t="shared" si="10"/>
        <v>8785</v>
      </c>
    </row>
    <row r="42" spans="1:16" s="112" customFormat="1" x14ac:dyDescent="0.3">
      <c r="A42" s="110">
        <f xml:space="preserve"> Assumptions!B$10</f>
        <v>6</v>
      </c>
      <c r="B42" s="110"/>
      <c r="C42" s="110"/>
      <c r="D42" s="111"/>
      <c r="E42" s="117"/>
      <c r="F42" s="117"/>
      <c r="G42" s="112" t="str">
        <f xml:space="preserve"> Assumptions!H$10</f>
        <v>Unit Price</v>
      </c>
      <c r="H42" s="112">
        <f xml:space="preserve"> Assumptions!I$10</f>
        <v>10</v>
      </c>
      <c r="I42" s="113" t="str">
        <f xml:space="preserve"> Assumptions!J$10</f>
        <v>$ / u</v>
      </c>
    </row>
    <row r="43" spans="1:16" s="11" customFormat="1" ht="15" customHeight="1" x14ac:dyDescent="0.3">
      <c r="A43" s="75"/>
      <c r="B43" s="75"/>
      <c r="C43" s="75"/>
      <c r="D43" s="76"/>
      <c r="E43" s="416" t="s">
        <v>11</v>
      </c>
      <c r="F43" s="3"/>
      <c r="G43" s="95" t="str">
        <f xml:space="preserve"> INDEX( SplitScreenStrip!$13:$23, MATCH( $E43, SplitScreenStrip!$E$13:$E$23, 0 ), MATCH( $E$4, SplitScreenStrip!$11:$11, 0 ) )</f>
        <v xml:space="preserve"> + Sales</v>
      </c>
      <c r="I43" s="32" t="s">
        <v>21</v>
      </c>
      <c r="K43" s="95">
        <f t="shared" ref="K43:P43" si="11" xml:space="preserve"> K41 * $H42</f>
        <v>0</v>
      </c>
      <c r="L43" s="95">
        <f t="shared" si="11"/>
        <v>60000</v>
      </c>
      <c r="M43" s="95">
        <f t="shared" si="11"/>
        <v>66000</v>
      </c>
      <c r="N43" s="95">
        <f t="shared" si="11"/>
        <v>72600</v>
      </c>
      <c r="O43" s="95">
        <f t="shared" si="11"/>
        <v>79860</v>
      </c>
      <c r="P43" s="95">
        <f t="shared" si="11"/>
        <v>87850</v>
      </c>
    </row>
    <row r="44" spans="1:16" s="11" customFormat="1" x14ac:dyDescent="0.3">
      <c r="A44" s="82"/>
      <c r="B44" s="82"/>
      <c r="C44" s="82"/>
      <c r="D44" s="76"/>
      <c r="E44" s="76"/>
      <c r="F44" s="15"/>
      <c r="I44" s="14"/>
    </row>
    <row r="45" spans="1:16" s="11" customFormat="1" x14ac:dyDescent="0.3">
      <c r="A45" s="82"/>
      <c r="B45" s="82"/>
      <c r="C45" s="82"/>
      <c r="D45" s="76"/>
      <c r="E45" s="76"/>
      <c r="F45" s="15"/>
      <c r="I45" s="14"/>
    </row>
    <row r="46" spans="1:16" s="90" customFormat="1" ht="15.6" x14ac:dyDescent="0.3">
      <c r="A46" s="87"/>
      <c r="B46" s="87"/>
      <c r="C46" s="87"/>
      <c r="D46" s="88"/>
      <c r="E46" s="88"/>
      <c r="F46" s="89"/>
      <c r="G46" s="90" t="str">
        <f>Assumptions!F11</f>
        <v>Manufacturing Costs (COGS)</v>
      </c>
      <c r="I46" s="91"/>
    </row>
    <row r="47" spans="1:16" s="11" customFormat="1" x14ac:dyDescent="0.3">
      <c r="A47" s="82"/>
      <c r="B47" s="82"/>
      <c r="C47" s="82"/>
      <c r="D47" s="76"/>
      <c r="E47" s="76"/>
      <c r="F47" s="15"/>
      <c r="I47" s="14"/>
    </row>
    <row r="48" spans="1:16" s="152" customFormat="1" x14ac:dyDescent="0.3">
      <c r="A48" s="151"/>
      <c r="B48" s="151"/>
      <c r="C48" s="151"/>
      <c r="D48" s="114"/>
      <c r="E48" s="114"/>
      <c r="F48" s="114"/>
      <c r="G48" s="115" t="str">
        <f xml:space="preserve"> G$39</f>
        <v>Units sold</v>
      </c>
      <c r="I48" s="116" t="str">
        <f xml:space="preserve"> I$39</f>
        <v>u</v>
      </c>
      <c r="J48" s="115"/>
      <c r="K48" s="152">
        <f t="shared" ref="K48:P48" si="12" xml:space="preserve"> K$39</f>
        <v>0</v>
      </c>
      <c r="L48" s="152">
        <f t="shared" si="12"/>
        <v>6000</v>
      </c>
      <c r="M48" s="152">
        <f t="shared" si="12"/>
        <v>6600</v>
      </c>
      <c r="N48" s="152">
        <f t="shared" si="12"/>
        <v>7260</v>
      </c>
      <c r="O48" s="152">
        <f t="shared" si="12"/>
        <v>7986</v>
      </c>
      <c r="P48" s="152">
        <f t="shared" si="12"/>
        <v>8785</v>
      </c>
    </row>
    <row r="49" spans="1:16" s="154" customFormat="1" x14ac:dyDescent="0.3">
      <c r="A49" s="110">
        <f xml:space="preserve"> Assumptions!B$11</f>
        <v>7</v>
      </c>
      <c r="B49" s="110"/>
      <c r="C49" s="110"/>
      <c r="D49" s="111"/>
      <c r="E49" s="111"/>
      <c r="F49" s="111"/>
      <c r="G49" s="112" t="str">
        <f xml:space="preserve"> Assumptions!H$11</f>
        <v>Unit Cost of Purchases</v>
      </c>
      <c r="H49" s="154">
        <f xml:space="preserve"> Assumptions!I$11</f>
        <v>2.5</v>
      </c>
      <c r="I49" s="113" t="str">
        <f xml:space="preserve"> Assumptions!J$11</f>
        <v>$ / u</v>
      </c>
      <c r="J49" s="112"/>
    </row>
    <row r="50" spans="1:16" s="11" customFormat="1" x14ac:dyDescent="0.3">
      <c r="A50" s="75"/>
      <c r="B50" s="75"/>
      <c r="C50" s="75"/>
      <c r="D50" s="76"/>
      <c r="E50" s="3"/>
      <c r="F50" s="3"/>
      <c r="G50" s="11" t="s">
        <v>602</v>
      </c>
      <c r="I50" s="14" t="s">
        <v>21</v>
      </c>
      <c r="K50" s="11">
        <f t="shared" ref="K50:P50" si="13" xml:space="preserve"> (-1) * K48 * $H49</f>
        <v>0</v>
      </c>
      <c r="L50" s="11">
        <f t="shared" si="13"/>
        <v>-15000</v>
      </c>
      <c r="M50" s="11">
        <f t="shared" si="13"/>
        <v>-16500</v>
      </c>
      <c r="N50" s="11">
        <f t="shared" si="13"/>
        <v>-18150</v>
      </c>
      <c r="O50" s="11">
        <f t="shared" si="13"/>
        <v>-19965</v>
      </c>
      <c r="P50" s="11">
        <f t="shared" si="13"/>
        <v>-21962.5</v>
      </c>
    </row>
    <row r="51" spans="1:16" s="11" customFormat="1" x14ac:dyDescent="0.3">
      <c r="A51" s="82"/>
      <c r="B51" s="82"/>
      <c r="C51" s="82"/>
      <c r="D51" s="76"/>
      <c r="E51" s="76"/>
      <c r="F51" s="15"/>
      <c r="I51" s="14"/>
    </row>
    <row r="52" spans="1:16" s="115" customFormat="1" x14ac:dyDescent="0.3">
      <c r="A52" s="133"/>
      <c r="B52" s="133"/>
      <c r="C52" s="133"/>
      <c r="D52" s="114"/>
      <c r="E52" s="114"/>
      <c r="F52" s="114"/>
      <c r="G52" s="115" t="str">
        <f xml:space="preserve"> G$50</f>
        <v xml:space="preserve"> – Material used</v>
      </c>
      <c r="I52" s="116" t="str">
        <f xml:space="preserve"> I$50</f>
        <v>$</v>
      </c>
      <c r="K52" s="115">
        <f t="shared" ref="K52:P52" si="14" xml:space="preserve"> K$50</f>
        <v>0</v>
      </c>
      <c r="L52" s="115">
        <f t="shared" si="14"/>
        <v>-15000</v>
      </c>
      <c r="M52" s="115">
        <f t="shared" si="14"/>
        <v>-16500</v>
      </c>
      <c r="N52" s="115">
        <f t="shared" si="14"/>
        <v>-18150</v>
      </c>
      <c r="O52" s="115">
        <f t="shared" si="14"/>
        <v>-19965</v>
      </c>
      <c r="P52" s="115">
        <f t="shared" si="14"/>
        <v>-21962.5</v>
      </c>
    </row>
    <row r="53" spans="1:16" s="153" customFormat="1" x14ac:dyDescent="0.3">
      <c r="A53" s="110">
        <f xml:space="preserve"> Assumptions!B$13</f>
        <v>9</v>
      </c>
      <c r="B53" s="110"/>
      <c r="C53" s="110"/>
      <c r="D53" s="111"/>
      <c r="E53" s="111"/>
      <c r="F53" s="111"/>
      <c r="G53" s="112" t="str">
        <f xml:space="preserve"> Assumptions!H$13</f>
        <v>Raw Materials Inventory (% of next-period consumption)</v>
      </c>
      <c r="H53" s="153">
        <f xml:space="preserve"> Assumptions!I$13</f>
        <v>0.25</v>
      </c>
      <c r="I53" s="113" t="str">
        <f xml:space="preserve"> Assumptions!J$13</f>
        <v>%</v>
      </c>
      <c r="J53" s="112"/>
    </row>
    <row r="54" spans="1:16" s="11" customFormat="1" ht="15" customHeight="1" x14ac:dyDescent="0.3">
      <c r="A54" s="75"/>
      <c r="B54" s="75"/>
      <c r="C54" s="75"/>
      <c r="D54" s="370" t="s">
        <v>12</v>
      </c>
      <c r="E54" s="76"/>
      <c r="F54" s="76"/>
      <c r="G54" s="95" t="str">
        <f xml:space="preserve"> INDEX( SplitScreenStrip!$13:$23, MATCH( $D54, SplitScreenStrip!$D$13:$D$23, 0 ), MATCH( $D$4, SplitScreenStrip!$11:$11, 0 ) )</f>
        <v xml:space="preserve"> + Inventory</v>
      </c>
      <c r="I54" s="14" t="s">
        <v>21</v>
      </c>
      <c r="K54" s="95">
        <f t="shared" ref="K54:P54" si="15" xml:space="preserve"> (-1) * ( L52 * $H53)</f>
        <v>3750</v>
      </c>
      <c r="L54" s="95">
        <f t="shared" si="15"/>
        <v>4125</v>
      </c>
      <c r="M54" s="95">
        <f t="shared" si="15"/>
        <v>4537.5</v>
      </c>
      <c r="N54" s="95">
        <f t="shared" si="15"/>
        <v>4991.25</v>
      </c>
      <c r="O54" s="95">
        <f t="shared" si="15"/>
        <v>5490.625</v>
      </c>
      <c r="P54" s="95">
        <f t="shared" si="15"/>
        <v>0</v>
      </c>
    </row>
    <row r="55" spans="1:16" s="11" customFormat="1" x14ac:dyDescent="0.3">
      <c r="A55" s="82"/>
      <c r="B55" s="82"/>
      <c r="C55" s="82"/>
      <c r="D55" s="76"/>
      <c r="E55" s="76"/>
      <c r="F55" s="15"/>
      <c r="I55" s="14"/>
    </row>
    <row r="56" spans="1:16" s="80" customFormat="1" x14ac:dyDescent="0.3">
      <c r="A56" s="78"/>
      <c r="B56" s="78"/>
      <c r="C56" s="78"/>
      <c r="D56" s="79"/>
      <c r="E56" s="79"/>
      <c r="F56" s="79"/>
      <c r="G56" s="80" t="str">
        <f xml:space="preserve"> G$54</f>
        <v xml:space="preserve"> + Inventory</v>
      </c>
      <c r="I56" s="81" t="str">
        <f xml:space="preserve"> I$54</f>
        <v>$</v>
      </c>
      <c r="J56" s="157"/>
      <c r="K56" s="80">
        <f t="shared" ref="K56:P56" si="16" xml:space="preserve"> K$54</f>
        <v>3750</v>
      </c>
      <c r="L56" s="80">
        <f t="shared" si="16"/>
        <v>4125</v>
      </c>
      <c r="M56" s="80">
        <f t="shared" si="16"/>
        <v>4537.5</v>
      </c>
      <c r="N56" s="80">
        <f t="shared" si="16"/>
        <v>4991.25</v>
      </c>
      <c r="O56" s="80">
        <f t="shared" si="16"/>
        <v>5490.625</v>
      </c>
      <c r="P56" s="80">
        <f t="shared" si="16"/>
        <v>0</v>
      </c>
    </row>
    <row r="57" spans="1:16" s="11" customFormat="1" x14ac:dyDescent="0.3">
      <c r="A57" s="75"/>
      <c r="B57" s="75"/>
      <c r="C57" s="75"/>
      <c r="D57" s="76"/>
      <c r="E57" s="3"/>
      <c r="F57" s="3"/>
      <c r="G57" s="11" t="s">
        <v>118</v>
      </c>
      <c r="I57" s="14" t="s">
        <v>21</v>
      </c>
      <c r="K57" s="11">
        <f t="shared" ref="K57:P57" si="17" xml:space="preserve"> (-1) * ( K56 - J56 )</f>
        <v>-3750</v>
      </c>
      <c r="L57" s="11">
        <f t="shared" si="17"/>
        <v>-375</v>
      </c>
      <c r="M57" s="11">
        <f t="shared" si="17"/>
        <v>-412.5</v>
      </c>
      <c r="N57" s="11">
        <f t="shared" si="17"/>
        <v>-453.75</v>
      </c>
      <c r="O57" s="11">
        <f t="shared" si="17"/>
        <v>-499.375</v>
      </c>
      <c r="P57" s="11">
        <f t="shared" si="17"/>
        <v>5490.625</v>
      </c>
    </row>
    <row r="58" spans="1:16" s="11" customFormat="1" x14ac:dyDescent="0.3">
      <c r="A58" s="82"/>
      <c r="B58" s="82"/>
      <c r="C58" s="82"/>
      <c r="D58" s="76"/>
      <c r="E58" s="76"/>
      <c r="F58" s="15"/>
      <c r="I58" s="14"/>
    </row>
    <row r="59" spans="1:16" s="115" customFormat="1" x14ac:dyDescent="0.3">
      <c r="A59" s="133"/>
      <c r="B59" s="133"/>
      <c r="C59" s="133"/>
      <c r="D59" s="114"/>
      <c r="E59" s="114"/>
      <c r="F59" s="114"/>
      <c r="G59" s="115" t="str">
        <f xml:space="preserve"> G$50</f>
        <v xml:space="preserve"> – Material used</v>
      </c>
      <c r="I59" s="116" t="str">
        <f xml:space="preserve"> I$50</f>
        <v>$</v>
      </c>
      <c r="K59" s="115">
        <f t="shared" ref="K59:P59" si="18" xml:space="preserve"> K$50</f>
        <v>0</v>
      </c>
      <c r="L59" s="115">
        <f t="shared" si="18"/>
        <v>-15000</v>
      </c>
      <c r="M59" s="115">
        <f t="shared" si="18"/>
        <v>-16500</v>
      </c>
      <c r="N59" s="115">
        <f t="shared" si="18"/>
        <v>-18150</v>
      </c>
      <c r="O59" s="115">
        <f t="shared" si="18"/>
        <v>-19965</v>
      </c>
      <c r="P59" s="115">
        <f t="shared" si="18"/>
        <v>-21962.5</v>
      </c>
    </row>
    <row r="60" spans="1:16" s="80" customFormat="1" x14ac:dyDescent="0.3">
      <c r="A60" s="134"/>
      <c r="B60" s="134"/>
      <c r="C60" s="134"/>
      <c r="D60" s="79"/>
      <c r="E60" s="79"/>
      <c r="F60" s="79"/>
      <c r="G60" s="80" t="str">
        <f xml:space="preserve"> G$57</f>
        <v xml:space="preserve"> – Δ inventory</v>
      </c>
      <c r="I60" s="81" t="str">
        <f xml:space="preserve"> I$57</f>
        <v>$</v>
      </c>
      <c r="K60" s="80">
        <f t="shared" ref="K60:P60" si="19" xml:space="preserve"> K$57</f>
        <v>-3750</v>
      </c>
      <c r="L60" s="80">
        <f t="shared" si="19"/>
        <v>-375</v>
      </c>
      <c r="M60" s="80">
        <f t="shared" si="19"/>
        <v>-412.5</v>
      </c>
      <c r="N60" s="80">
        <f t="shared" si="19"/>
        <v>-453.75</v>
      </c>
      <c r="O60" s="80">
        <f t="shared" si="19"/>
        <v>-499.375</v>
      </c>
      <c r="P60" s="80">
        <f t="shared" si="19"/>
        <v>5490.625</v>
      </c>
    </row>
    <row r="61" spans="1:16" s="11" customFormat="1" ht="14.4" x14ac:dyDescent="0.3">
      <c r="A61" s="82"/>
      <c r="B61" s="82"/>
      <c r="C61" s="82"/>
      <c r="D61" s="76"/>
      <c r="E61" s="417" t="s">
        <v>89</v>
      </c>
      <c r="F61" s="76"/>
      <c r="G61" s="95" t="str">
        <f xml:space="preserve"> INDEX( SplitScreenStrip!$13:$23, MATCH( $E61, SplitScreenStrip!$E$13:$E$23, 0 ), MATCH( $E$4, SplitScreenStrip!$11:$11, 0 ) )</f>
        <v xml:space="preserve"> – Cost of Purchases (manufacturing)</v>
      </c>
      <c r="I61" s="14" t="s">
        <v>21</v>
      </c>
      <c r="K61" s="95">
        <f t="shared" ref="K61:P61" si="20" xml:space="preserve"> K59 + K60</f>
        <v>-3750</v>
      </c>
      <c r="L61" s="95">
        <f t="shared" si="20"/>
        <v>-15375</v>
      </c>
      <c r="M61" s="95">
        <f t="shared" si="20"/>
        <v>-16912.5</v>
      </c>
      <c r="N61" s="95">
        <f t="shared" si="20"/>
        <v>-18603.75</v>
      </c>
      <c r="O61" s="95">
        <f t="shared" si="20"/>
        <v>-20464.375</v>
      </c>
      <c r="P61" s="95">
        <f t="shared" si="20"/>
        <v>-16471.875</v>
      </c>
    </row>
    <row r="62" spans="1:16" s="11" customFormat="1" x14ac:dyDescent="0.3">
      <c r="A62" s="82"/>
      <c r="B62" s="82"/>
      <c r="C62" s="82"/>
      <c r="D62" s="76"/>
      <c r="E62" s="76"/>
      <c r="F62" s="15"/>
      <c r="I62" s="14"/>
    </row>
    <row r="63" spans="1:16" s="11" customFormat="1" x14ac:dyDescent="0.3">
      <c r="A63" s="82"/>
      <c r="B63" s="82"/>
      <c r="C63" s="82"/>
      <c r="D63" s="76"/>
      <c r="E63" s="76"/>
      <c r="F63" s="15"/>
      <c r="I63" s="14"/>
    </row>
    <row r="64" spans="1:16" s="152" customFormat="1" x14ac:dyDescent="0.3">
      <c r="A64" s="151"/>
      <c r="B64" s="151"/>
      <c r="C64" s="151"/>
      <c r="D64" s="114"/>
      <c r="E64" s="114"/>
      <c r="F64" s="114"/>
      <c r="G64" s="115" t="str">
        <f xml:space="preserve"> G$39</f>
        <v>Units sold</v>
      </c>
      <c r="I64" s="116" t="str">
        <f xml:space="preserve"> I$39</f>
        <v>u</v>
      </c>
      <c r="J64" s="115"/>
      <c r="K64" s="152">
        <f t="shared" ref="K64:P64" si="21" xml:space="preserve"> K$39</f>
        <v>0</v>
      </c>
      <c r="L64" s="152">
        <f t="shared" si="21"/>
        <v>6000</v>
      </c>
      <c r="M64" s="152">
        <f t="shared" si="21"/>
        <v>6600</v>
      </c>
      <c r="N64" s="152">
        <f t="shared" si="21"/>
        <v>7260</v>
      </c>
      <c r="O64" s="152">
        <f t="shared" si="21"/>
        <v>7986</v>
      </c>
      <c r="P64" s="152">
        <f t="shared" si="21"/>
        <v>8785</v>
      </c>
    </row>
    <row r="65" spans="1:16" s="154" customFormat="1" x14ac:dyDescent="0.3">
      <c r="A65" s="110">
        <f xml:space="preserve"> Assumptions!B$12</f>
        <v>8</v>
      </c>
      <c r="B65" s="110"/>
      <c r="C65" s="110"/>
      <c r="D65" s="111"/>
      <c r="E65" s="111"/>
      <c r="F65" s="111"/>
      <c r="G65" s="112" t="str">
        <f xml:space="preserve"> Assumptions!H$12</f>
        <v>Unit Cost of Labor</v>
      </c>
      <c r="H65" s="154">
        <f xml:space="preserve"> Assumptions!I$12</f>
        <v>4</v>
      </c>
      <c r="I65" s="113" t="str">
        <f xml:space="preserve"> Assumptions!J$12</f>
        <v>$ / u</v>
      </c>
      <c r="J65" s="112"/>
    </row>
    <row r="66" spans="1:16" s="11" customFormat="1" ht="14.4" x14ac:dyDescent="0.3">
      <c r="A66" s="75"/>
      <c r="B66" s="75"/>
      <c r="C66" s="75"/>
      <c r="D66" s="76"/>
      <c r="E66" s="417" t="s">
        <v>88</v>
      </c>
      <c r="F66" s="3"/>
      <c r="G66" s="95" t="str">
        <f xml:space="preserve"> INDEX( SplitScreenStrip!$13:$23, MATCH( $E66, SplitScreenStrip!$E$13:$E$23, 0 ), MATCH( $E$4, SplitScreenStrip!$11:$11, 0 ) )</f>
        <v xml:space="preserve"> – Labor costs (manufacturing)</v>
      </c>
      <c r="I66" s="32" t="s">
        <v>21</v>
      </c>
      <c r="K66" s="95">
        <f t="shared" ref="K66:P66" si="22" xml:space="preserve"> (-1) * K64 * $H65</f>
        <v>0</v>
      </c>
      <c r="L66" s="95">
        <f t="shared" si="22"/>
        <v>-24000</v>
      </c>
      <c r="M66" s="95">
        <f t="shared" si="22"/>
        <v>-26400</v>
      </c>
      <c r="N66" s="95">
        <f t="shared" si="22"/>
        <v>-29040</v>
      </c>
      <c r="O66" s="95">
        <f t="shared" si="22"/>
        <v>-31944</v>
      </c>
      <c r="P66" s="95">
        <f t="shared" si="22"/>
        <v>-35140</v>
      </c>
    </row>
    <row r="67" spans="1:16" s="11" customFormat="1" x14ac:dyDescent="0.3">
      <c r="A67" s="82"/>
      <c r="B67" s="82"/>
      <c r="C67" s="82"/>
      <c r="D67" s="76"/>
      <c r="E67" s="76"/>
      <c r="F67" s="15"/>
      <c r="I67" s="14"/>
    </row>
    <row r="68" spans="1:16" s="11" customFormat="1" x14ac:dyDescent="0.3">
      <c r="A68" s="82"/>
      <c r="B68" s="82"/>
      <c r="C68" s="82"/>
      <c r="D68" s="76"/>
      <c r="E68" s="76"/>
      <c r="F68" s="15"/>
      <c r="I68" s="14"/>
    </row>
    <row r="69" spans="1:16" s="90" customFormat="1" ht="15.6" x14ac:dyDescent="0.3">
      <c r="A69" s="87"/>
      <c r="B69" s="87"/>
      <c r="C69" s="87"/>
      <c r="D69" s="88"/>
      <c r="E69" s="88"/>
      <c r="F69" s="89"/>
      <c r="G69" s="90" t="str">
        <f>Assumptions!F14</f>
        <v>NonManufacturing Costs (SGA)</v>
      </c>
      <c r="I69" s="91"/>
    </row>
    <row r="70" spans="1:16" s="11" customFormat="1" x14ac:dyDescent="0.3">
      <c r="A70" s="82"/>
      <c r="B70" s="82"/>
      <c r="C70" s="82"/>
      <c r="D70" s="76"/>
      <c r="E70" s="76"/>
      <c r="F70" s="15"/>
      <c r="I70" s="14"/>
    </row>
    <row r="71" spans="1:16" s="115" customFormat="1" x14ac:dyDescent="0.3">
      <c r="A71" s="75"/>
      <c r="B71" s="75"/>
      <c r="C71" s="75"/>
      <c r="D71" s="114"/>
      <c r="E71" s="114"/>
      <c r="F71" s="114"/>
      <c r="G71" s="115" t="str">
        <f xml:space="preserve"> G$43</f>
        <v xml:space="preserve"> + Sales</v>
      </c>
      <c r="I71" s="116" t="str">
        <f xml:space="preserve"> I$43</f>
        <v>$</v>
      </c>
      <c r="K71" s="115">
        <f t="shared" ref="K71:P71" si="23" xml:space="preserve"> K$43</f>
        <v>0</v>
      </c>
      <c r="L71" s="115">
        <f t="shared" si="23"/>
        <v>60000</v>
      </c>
      <c r="M71" s="115">
        <f t="shared" si="23"/>
        <v>66000</v>
      </c>
      <c r="N71" s="115">
        <f t="shared" si="23"/>
        <v>72600</v>
      </c>
      <c r="O71" s="115">
        <f t="shared" si="23"/>
        <v>79860</v>
      </c>
      <c r="P71" s="115">
        <f t="shared" si="23"/>
        <v>87850</v>
      </c>
    </row>
    <row r="72" spans="1:16" s="153" customFormat="1" x14ac:dyDescent="0.3">
      <c r="A72" s="110">
        <f xml:space="preserve"> Assumptions!B$14</f>
        <v>10</v>
      </c>
      <c r="B72" s="110"/>
      <c r="C72" s="110"/>
      <c r="D72" s="111"/>
      <c r="E72" s="111"/>
      <c r="F72" s="111"/>
      <c r="G72" s="112" t="str">
        <f xml:space="preserve"> Assumptions!H$14</f>
        <v>Cost of purchases (SGA) (% of Sales)</v>
      </c>
      <c r="H72" s="153">
        <f xml:space="preserve"> Assumptions!I$14</f>
        <v>0.15</v>
      </c>
      <c r="I72" s="113" t="str">
        <f xml:space="preserve"> Assumptions!J$14</f>
        <v>%</v>
      </c>
      <c r="J72" s="112"/>
    </row>
    <row r="73" spans="1:16" s="11" customFormat="1" ht="14.4" x14ac:dyDescent="0.3">
      <c r="A73" s="75"/>
      <c r="B73" s="75"/>
      <c r="C73" s="75"/>
      <c r="D73" s="76"/>
      <c r="E73" s="417" t="s">
        <v>91</v>
      </c>
      <c r="F73" s="76"/>
      <c r="G73" s="95" t="str">
        <f xml:space="preserve"> INDEX( SplitScreenStrip!$13:$23, MATCH( $E73, SplitScreenStrip!$E$13:$E$23, 0 ), MATCH( $E$4, SplitScreenStrip!$11:$11, 0 ) )</f>
        <v xml:space="preserve"> – Cost of Purchases (nonmanufacturing)</v>
      </c>
      <c r="I73" s="32" t="s">
        <v>21</v>
      </c>
      <c r="K73" s="95">
        <f t="shared" ref="K73:P73" si="24" xml:space="preserve"> (-1) * ROUND( K71 * $H72, 0 )</f>
        <v>0</v>
      </c>
      <c r="L73" s="95">
        <f t="shared" si="24"/>
        <v>-9000</v>
      </c>
      <c r="M73" s="95">
        <f t="shared" si="24"/>
        <v>-9900</v>
      </c>
      <c r="N73" s="95">
        <f t="shared" si="24"/>
        <v>-10890</v>
      </c>
      <c r="O73" s="95">
        <f t="shared" si="24"/>
        <v>-11979</v>
      </c>
      <c r="P73" s="95">
        <f t="shared" si="24"/>
        <v>-13178</v>
      </c>
    </row>
    <row r="74" spans="1:16" x14ac:dyDescent="0.3">
      <c r="A74" s="77"/>
      <c r="B74" s="77"/>
      <c r="C74" s="77"/>
      <c r="D74" s="73"/>
      <c r="E74" s="73"/>
      <c r="F74" s="73"/>
    </row>
    <row r="75" spans="1:16" x14ac:dyDescent="0.3">
      <c r="A75" s="77"/>
      <c r="B75" s="77"/>
      <c r="C75" s="77"/>
      <c r="D75" s="73"/>
      <c r="E75" s="73"/>
      <c r="F75" s="73"/>
    </row>
    <row r="76" spans="1:16" s="106" customFormat="1" x14ac:dyDescent="0.3">
      <c r="A76" s="103">
        <f xml:space="preserve"> Assumptions!B$15</f>
        <v>11</v>
      </c>
      <c r="B76" s="103"/>
      <c r="C76" s="103"/>
      <c r="D76" s="105"/>
      <c r="E76" s="104"/>
      <c r="F76" s="104"/>
      <c r="G76" s="106" t="str">
        <f xml:space="preserve"> Assumptions!H$15</f>
        <v>Labor costs (SGA)</v>
      </c>
      <c r="H76" s="106">
        <f xml:space="preserve"> Assumptions!I$15</f>
        <v>6000</v>
      </c>
      <c r="I76" s="107" t="str">
        <f xml:space="preserve"> Assumptions!J$15</f>
        <v>$ / y</v>
      </c>
    </row>
    <row r="77" spans="1:16" s="119" customFormat="1" x14ac:dyDescent="0.3">
      <c r="A77" s="132"/>
      <c r="B77" s="132"/>
      <c r="C77" s="132"/>
      <c r="D77" s="79"/>
      <c r="E77" s="79"/>
      <c r="F77" s="79"/>
      <c r="G77" s="80" t="str">
        <f xml:space="preserve"> G$11</f>
        <v>Project period flag</v>
      </c>
      <c r="I77" s="81" t="str">
        <f xml:space="preserve"> I$11</f>
        <v>flag</v>
      </c>
      <c r="J77" s="80"/>
      <c r="K77" s="119">
        <f t="shared" ref="K77:P77" si="25" xml:space="preserve"> K$11</f>
        <v>0</v>
      </c>
      <c r="L77" s="119">
        <f t="shared" si="25"/>
        <v>1</v>
      </c>
      <c r="M77" s="119">
        <f t="shared" si="25"/>
        <v>1</v>
      </c>
      <c r="N77" s="119">
        <f t="shared" si="25"/>
        <v>1</v>
      </c>
      <c r="O77" s="119">
        <f t="shared" si="25"/>
        <v>1</v>
      </c>
      <c r="P77" s="119">
        <f t="shared" si="25"/>
        <v>1</v>
      </c>
    </row>
    <row r="78" spans="1:16" s="11" customFormat="1" ht="14.4" x14ac:dyDescent="0.3">
      <c r="A78" s="75"/>
      <c r="B78" s="75"/>
      <c r="C78" s="75"/>
      <c r="D78" s="76"/>
      <c r="E78" s="417" t="s">
        <v>93</v>
      </c>
      <c r="F78" s="76"/>
      <c r="G78" s="95" t="str">
        <f xml:space="preserve"> INDEX( SplitScreenStrip!$13:$23, MATCH( $E78, SplitScreenStrip!$E$13:$E$23, 0 ), MATCH( $E$4, SplitScreenStrip!$11:$11, 0 ) )</f>
        <v xml:space="preserve"> – Labor costs (nonmanufacturing)</v>
      </c>
      <c r="I78" s="32" t="s">
        <v>21</v>
      </c>
      <c r="K78" s="95">
        <f t="shared" ref="K78:P78" si="26" xml:space="preserve"> (-1) * $H76 * K77</f>
        <v>0</v>
      </c>
      <c r="L78" s="95">
        <f t="shared" si="26"/>
        <v>-6000</v>
      </c>
      <c r="M78" s="95">
        <f t="shared" si="26"/>
        <v>-6000</v>
      </c>
      <c r="N78" s="95">
        <f t="shared" si="26"/>
        <v>-6000</v>
      </c>
      <c r="O78" s="95">
        <f t="shared" si="26"/>
        <v>-6000</v>
      </c>
      <c r="P78" s="95">
        <f t="shared" si="26"/>
        <v>-6000</v>
      </c>
    </row>
    <row r="79" spans="1:16" s="11" customFormat="1" x14ac:dyDescent="0.3">
      <c r="A79" s="82"/>
      <c r="B79" s="82"/>
      <c r="C79" s="82"/>
      <c r="D79" s="76"/>
      <c r="E79" s="76"/>
      <c r="F79" s="15"/>
      <c r="I79" s="14"/>
    </row>
    <row r="80" spans="1:16" s="11" customFormat="1" x14ac:dyDescent="0.3">
      <c r="A80" s="82"/>
      <c r="B80" s="82"/>
      <c r="C80" s="82"/>
      <c r="D80" s="76"/>
      <c r="E80" s="76"/>
      <c r="F80" s="15"/>
      <c r="I80" s="14"/>
    </row>
    <row r="81" spans="1:16" s="90" customFormat="1" ht="15.6" x14ac:dyDescent="0.3">
      <c r="A81" s="87"/>
      <c r="B81" s="87"/>
      <c r="C81" s="87"/>
      <c r="D81" s="88"/>
      <c r="E81" s="88"/>
      <c r="F81" s="89"/>
      <c r="G81" s="90" t="str">
        <f xml:space="preserve"> Assumptions!F16</f>
        <v>Operating cycle</v>
      </c>
      <c r="I81" s="91"/>
    </row>
    <row r="82" spans="1:16" s="11" customFormat="1" x14ac:dyDescent="0.3">
      <c r="A82" s="82"/>
      <c r="B82" s="82"/>
      <c r="C82" s="82"/>
      <c r="D82" s="76"/>
      <c r="E82" s="76"/>
      <c r="F82" s="15"/>
      <c r="I82" s="14"/>
    </row>
    <row r="83" spans="1:16" s="115" customFormat="1" x14ac:dyDescent="0.3">
      <c r="A83" s="75"/>
      <c r="B83" s="75"/>
      <c r="C83" s="75"/>
      <c r="D83" s="114"/>
      <c r="E83" s="114"/>
      <c r="F83" s="114"/>
      <c r="G83" s="115" t="str">
        <f xml:space="preserve"> G$43</f>
        <v xml:space="preserve"> + Sales</v>
      </c>
      <c r="I83" s="116" t="str">
        <f xml:space="preserve"> I$43</f>
        <v>$</v>
      </c>
      <c r="K83" s="115">
        <f t="shared" ref="K83:P83" si="27" xml:space="preserve"> K$43</f>
        <v>0</v>
      </c>
      <c r="L83" s="115">
        <f t="shared" si="27"/>
        <v>60000</v>
      </c>
      <c r="M83" s="115">
        <f t="shared" si="27"/>
        <v>66000</v>
      </c>
      <c r="N83" s="115">
        <f t="shared" si="27"/>
        <v>72600</v>
      </c>
      <c r="O83" s="115">
        <f t="shared" si="27"/>
        <v>79860</v>
      </c>
      <c r="P83" s="115">
        <f t="shared" si="27"/>
        <v>87850</v>
      </c>
    </row>
    <row r="84" spans="1:16" s="108" customFormat="1" x14ac:dyDescent="0.3">
      <c r="A84" s="103">
        <f xml:space="preserve"> Assumptions!B$16</f>
        <v>12</v>
      </c>
      <c r="B84" s="103"/>
      <c r="C84" s="103"/>
      <c r="D84" s="105"/>
      <c r="E84" s="105"/>
      <c r="F84" s="105"/>
      <c r="G84" s="106" t="str">
        <f xml:space="preserve"> Assumptions!H$16</f>
        <v>DSO (Days Sales Outstanding)</v>
      </c>
      <c r="H84" s="108">
        <f xml:space="preserve"> Assumptions!I$16</f>
        <v>30</v>
      </c>
      <c r="I84" s="107" t="str">
        <f xml:space="preserve"> Assumptions!J$16</f>
        <v>dd</v>
      </c>
      <c r="J84" s="106"/>
    </row>
    <row r="85" spans="1:16" s="119" customFormat="1" x14ac:dyDescent="0.3">
      <c r="A85" s="132"/>
      <c r="B85" s="132"/>
      <c r="C85" s="132"/>
      <c r="D85" s="79"/>
      <c r="E85" s="79"/>
      <c r="F85" s="79"/>
      <c r="G85" s="80" t="str">
        <f xml:space="preserve"> G$12</f>
        <v>End of Project period flag</v>
      </c>
      <c r="I85" s="81" t="str">
        <f xml:space="preserve"> I$12</f>
        <v>flag</v>
      </c>
      <c r="J85" s="80"/>
      <c r="K85" s="119">
        <f t="shared" ref="K85:P85" si="28" xml:space="preserve"> K$12</f>
        <v>0</v>
      </c>
      <c r="L85" s="119">
        <f t="shared" si="28"/>
        <v>0</v>
      </c>
      <c r="M85" s="119">
        <f t="shared" si="28"/>
        <v>0</v>
      </c>
      <c r="N85" s="119">
        <f t="shared" si="28"/>
        <v>0</v>
      </c>
      <c r="O85" s="119">
        <f t="shared" si="28"/>
        <v>0</v>
      </c>
      <c r="P85" s="119">
        <f t="shared" si="28"/>
        <v>1</v>
      </c>
    </row>
    <row r="86" spans="1:16" s="11" customFormat="1" x14ac:dyDescent="0.3">
      <c r="A86" s="72"/>
      <c r="B86" s="72"/>
      <c r="C86" s="72"/>
      <c r="D86" s="370" t="s">
        <v>10</v>
      </c>
      <c r="E86" s="76"/>
      <c r="F86" s="76"/>
      <c r="G86" s="95" t="str">
        <f xml:space="preserve"> INDEX( SplitScreenStrip!$13:$23, MATCH( $D86, SplitScreenStrip!$D$13:$D$23, 0 ), MATCH( $D$4, SplitScreenStrip!$11:$11, 0 ) )</f>
        <v xml:space="preserve"> + Accounts Receivable</v>
      </c>
      <c r="I86" s="32" t="s">
        <v>21</v>
      </c>
      <c r="K86" s="95">
        <f t="shared" ref="K86:P86" si="29" xml:space="preserve"> ( ( K43 / 365 ) * $H84 ) * ( 1-K85 )</f>
        <v>0</v>
      </c>
      <c r="L86" s="95">
        <f t="shared" si="29"/>
        <v>4931.5068493150684</v>
      </c>
      <c r="M86" s="95">
        <f t="shared" si="29"/>
        <v>5424.6575342465758</v>
      </c>
      <c r="N86" s="95">
        <f t="shared" si="29"/>
        <v>5967.1232876712329</v>
      </c>
      <c r="O86" s="95">
        <f t="shared" si="29"/>
        <v>6563.8356164383567</v>
      </c>
      <c r="P86" s="95">
        <f t="shared" si="29"/>
        <v>0</v>
      </c>
    </row>
    <row r="87" spans="1:16" s="11" customFormat="1" x14ac:dyDescent="0.3">
      <c r="A87" s="82"/>
      <c r="B87" s="82"/>
      <c r="C87" s="82"/>
      <c r="D87" s="76"/>
      <c r="E87" s="76"/>
      <c r="F87" s="15"/>
      <c r="I87" s="14"/>
    </row>
    <row r="88" spans="1:16" s="115" customFormat="1" x14ac:dyDescent="0.3">
      <c r="A88" s="133"/>
      <c r="B88" s="133"/>
      <c r="C88" s="133"/>
      <c r="D88" s="114"/>
      <c r="E88" s="114"/>
      <c r="F88" s="114"/>
      <c r="G88" s="115" t="str">
        <f xml:space="preserve"> G$61</f>
        <v xml:space="preserve"> – Cost of Purchases (manufacturing)</v>
      </c>
      <c r="I88" s="116" t="str">
        <f xml:space="preserve"> I$61</f>
        <v>$</v>
      </c>
      <c r="K88" s="115">
        <f t="shared" ref="K88:P88" si="30" xml:space="preserve"> K$61</f>
        <v>-3750</v>
      </c>
      <c r="L88" s="115">
        <f t="shared" si="30"/>
        <v>-15375</v>
      </c>
      <c r="M88" s="115">
        <f t="shared" si="30"/>
        <v>-16912.5</v>
      </c>
      <c r="N88" s="115">
        <f t="shared" si="30"/>
        <v>-18603.75</v>
      </c>
      <c r="O88" s="115">
        <f t="shared" si="30"/>
        <v>-20464.375</v>
      </c>
      <c r="P88" s="115">
        <f t="shared" si="30"/>
        <v>-16471.875</v>
      </c>
    </row>
    <row r="89" spans="1:16" s="108" customFormat="1" x14ac:dyDescent="0.3">
      <c r="A89" s="103">
        <f xml:space="preserve"> Assumptions!B$17</f>
        <v>13</v>
      </c>
      <c r="B89" s="103"/>
      <c r="C89" s="103"/>
      <c r="D89" s="105"/>
      <c r="E89" s="105"/>
      <c r="F89" s="105"/>
      <c r="G89" s="106" t="str">
        <f xml:space="preserve"> Assumptions!H$17</f>
        <v>DPO (Days Payable Outstanding)</v>
      </c>
      <c r="H89" s="108">
        <f xml:space="preserve"> Assumptions!I$17</f>
        <v>90</v>
      </c>
      <c r="I89" s="107" t="str">
        <f xml:space="preserve"> Assumptions!J$17</f>
        <v>dd</v>
      </c>
      <c r="J89" s="106"/>
    </row>
    <row r="90" spans="1:16" s="152" customFormat="1" x14ac:dyDescent="0.3">
      <c r="A90" s="151"/>
      <c r="B90" s="151"/>
      <c r="C90" s="151"/>
      <c r="D90" s="114"/>
      <c r="E90" s="114"/>
      <c r="F90" s="114"/>
      <c r="G90" s="115" t="str">
        <f xml:space="preserve"> G$10</f>
        <v>Investment period flag</v>
      </c>
      <c r="I90" s="116" t="str">
        <f xml:space="preserve"> I$10</f>
        <v>flag</v>
      </c>
      <c r="J90" s="115"/>
      <c r="K90" s="152">
        <f t="shared" ref="K90:P90" si="31" xml:space="preserve"> K$10</f>
        <v>1</v>
      </c>
      <c r="L90" s="152">
        <f t="shared" si="31"/>
        <v>0</v>
      </c>
      <c r="M90" s="152">
        <f t="shared" si="31"/>
        <v>0</v>
      </c>
      <c r="N90" s="152">
        <f t="shared" si="31"/>
        <v>0</v>
      </c>
      <c r="O90" s="152">
        <f t="shared" si="31"/>
        <v>0</v>
      </c>
      <c r="P90" s="152">
        <f t="shared" si="31"/>
        <v>0</v>
      </c>
    </row>
    <row r="91" spans="1:16" s="119" customFormat="1" x14ac:dyDescent="0.3">
      <c r="A91" s="132"/>
      <c r="B91" s="132"/>
      <c r="C91" s="132"/>
      <c r="D91" s="79"/>
      <c r="E91" s="79"/>
      <c r="F91" s="79"/>
      <c r="G91" s="80" t="str">
        <f xml:space="preserve"> G$12</f>
        <v>End of Project period flag</v>
      </c>
      <c r="I91" s="81" t="str">
        <f xml:space="preserve"> I$12</f>
        <v>flag</v>
      </c>
      <c r="J91" s="80"/>
      <c r="K91" s="119">
        <f t="shared" ref="K91:P91" si="32" xml:space="preserve"> K$12</f>
        <v>0</v>
      </c>
      <c r="L91" s="119">
        <f t="shared" si="32"/>
        <v>0</v>
      </c>
      <c r="M91" s="119">
        <f t="shared" si="32"/>
        <v>0</v>
      </c>
      <c r="N91" s="119">
        <f t="shared" si="32"/>
        <v>0</v>
      </c>
      <c r="O91" s="119">
        <f t="shared" si="32"/>
        <v>0</v>
      </c>
      <c r="P91" s="119">
        <f t="shared" si="32"/>
        <v>1</v>
      </c>
    </row>
    <row r="92" spans="1:16" s="11" customFormat="1" ht="14.4" x14ac:dyDescent="0.3">
      <c r="A92" s="72"/>
      <c r="B92" s="72"/>
      <c r="C92" s="72"/>
      <c r="D92" s="370" t="s">
        <v>90</v>
      </c>
      <c r="E92" s="76"/>
      <c r="F92" s="76"/>
      <c r="G92" s="95" t="str">
        <f xml:space="preserve"> INDEX( SplitScreenStrip!$13:$23, MATCH( $D92, SplitScreenStrip!$D$13:$D$23, 0 ), MATCH( $D$4, SplitScreenStrip!$11:$11, 0 ) )</f>
        <v xml:space="preserve"> – Accounts Payable (manufacturing)</v>
      </c>
      <c r="I92" s="32" t="s">
        <v>21</v>
      </c>
      <c r="K92" s="95">
        <f t="shared" ref="K92:P92" si="33" xml:space="preserve"> ( K88 * $H89 / 365 ) * ( (1-K90)*(1-K91) )</f>
        <v>0</v>
      </c>
      <c r="L92" s="95">
        <f t="shared" si="33"/>
        <v>-3791.0958904109589</v>
      </c>
      <c r="M92" s="95">
        <f t="shared" si="33"/>
        <v>-4170.2054794520545</v>
      </c>
      <c r="N92" s="95">
        <f t="shared" si="33"/>
        <v>-4587.2260273972606</v>
      </c>
      <c r="O92" s="95">
        <f t="shared" si="33"/>
        <v>-5046.0102739726026</v>
      </c>
      <c r="P92" s="95">
        <f t="shared" si="33"/>
        <v>0</v>
      </c>
    </row>
    <row r="93" spans="1:16" s="11" customFormat="1" x14ac:dyDescent="0.3">
      <c r="A93" s="75"/>
      <c r="B93" s="75"/>
      <c r="C93" s="75"/>
      <c r="D93" s="76"/>
      <c r="E93" s="76"/>
      <c r="F93" s="76"/>
      <c r="I93" s="32"/>
    </row>
    <row r="94" spans="1:16" s="115" customFormat="1" x14ac:dyDescent="0.3">
      <c r="A94" s="133"/>
      <c r="B94" s="133"/>
      <c r="C94" s="133"/>
      <c r="D94" s="114"/>
      <c r="E94" s="114"/>
      <c r="F94" s="114"/>
      <c r="G94" s="115" t="str">
        <f xml:space="preserve"> G$73</f>
        <v xml:space="preserve"> – Cost of Purchases (nonmanufacturing)</v>
      </c>
      <c r="I94" s="116" t="str">
        <f xml:space="preserve"> I$73</f>
        <v>$</v>
      </c>
      <c r="K94" s="115">
        <f t="shared" ref="K94:P94" si="34" xml:space="preserve"> K$73</f>
        <v>0</v>
      </c>
      <c r="L94" s="115">
        <f t="shared" si="34"/>
        <v>-9000</v>
      </c>
      <c r="M94" s="115">
        <f t="shared" si="34"/>
        <v>-9900</v>
      </c>
      <c r="N94" s="115">
        <f t="shared" si="34"/>
        <v>-10890</v>
      </c>
      <c r="O94" s="115">
        <f t="shared" si="34"/>
        <v>-11979</v>
      </c>
      <c r="P94" s="115">
        <f t="shared" si="34"/>
        <v>-13178</v>
      </c>
    </row>
    <row r="95" spans="1:16" s="108" customFormat="1" x14ac:dyDescent="0.3">
      <c r="A95" s="103">
        <f xml:space="preserve"> Assumptions!B$17</f>
        <v>13</v>
      </c>
      <c r="B95" s="103"/>
      <c r="C95" s="103"/>
      <c r="D95" s="105"/>
      <c r="E95" s="105"/>
      <c r="F95" s="105"/>
      <c r="G95" s="106" t="str">
        <f xml:space="preserve"> Assumptions!H$17</f>
        <v>DPO (Days Payable Outstanding)</v>
      </c>
      <c r="H95" s="108">
        <f xml:space="preserve"> Assumptions!I$17</f>
        <v>90</v>
      </c>
      <c r="I95" s="107" t="str">
        <f xml:space="preserve"> Assumptions!J$17</f>
        <v>dd</v>
      </c>
      <c r="J95" s="106"/>
    </row>
    <row r="96" spans="1:16" s="119" customFormat="1" x14ac:dyDescent="0.3">
      <c r="A96" s="132"/>
      <c r="B96" s="132"/>
      <c r="C96" s="132"/>
      <c r="D96" s="79"/>
      <c r="E96" s="79"/>
      <c r="F96" s="79"/>
      <c r="G96" s="80" t="str">
        <f xml:space="preserve"> G$12</f>
        <v>End of Project period flag</v>
      </c>
      <c r="I96" s="81" t="str">
        <f xml:space="preserve"> I$12</f>
        <v>flag</v>
      </c>
      <c r="J96" s="80"/>
      <c r="K96" s="119">
        <f t="shared" ref="K96:P96" si="35" xml:space="preserve"> K$12</f>
        <v>0</v>
      </c>
      <c r="L96" s="119">
        <f t="shared" si="35"/>
        <v>0</v>
      </c>
      <c r="M96" s="119">
        <f t="shared" si="35"/>
        <v>0</v>
      </c>
      <c r="N96" s="119">
        <f t="shared" si="35"/>
        <v>0</v>
      </c>
      <c r="O96" s="119">
        <f t="shared" si="35"/>
        <v>0</v>
      </c>
      <c r="P96" s="119">
        <f t="shared" si="35"/>
        <v>1</v>
      </c>
    </row>
    <row r="97" spans="1:16" s="11" customFormat="1" ht="14.4" x14ac:dyDescent="0.3">
      <c r="A97" s="75"/>
      <c r="B97" s="75"/>
      <c r="C97" s="75"/>
      <c r="D97" s="370" t="s">
        <v>92</v>
      </c>
      <c r="E97" s="76"/>
      <c r="F97" s="76"/>
      <c r="G97" s="95" t="str">
        <f xml:space="preserve"> INDEX( SplitScreenStrip!$13:$23, MATCH( $D97, SplitScreenStrip!$D$13:$D$23, 0 ), MATCH( $D$4, SplitScreenStrip!$11:$11, 0 ) )</f>
        <v xml:space="preserve"> – Accounts Payable (nonmanufacturing)</v>
      </c>
      <c r="I97" s="32" t="s">
        <v>21</v>
      </c>
      <c r="K97" s="95">
        <f t="shared" ref="K97:P97" si="36" xml:space="preserve"> ( ( K94 * $H95) / 365 ) * ( 1-K96 )</f>
        <v>0</v>
      </c>
      <c r="L97" s="95">
        <f t="shared" si="36"/>
        <v>-2219.178082191781</v>
      </c>
      <c r="M97" s="95">
        <f t="shared" si="36"/>
        <v>-2441.0958904109589</v>
      </c>
      <c r="N97" s="95">
        <f t="shared" si="36"/>
        <v>-2685.205479452055</v>
      </c>
      <c r="O97" s="95">
        <f t="shared" si="36"/>
        <v>-2953.7260273972602</v>
      </c>
      <c r="P97" s="95">
        <f t="shared" si="36"/>
        <v>0</v>
      </c>
    </row>
    <row r="98" spans="1:16" s="11" customFormat="1" x14ac:dyDescent="0.3">
      <c r="A98" s="75"/>
      <c r="B98" s="75"/>
      <c r="C98" s="75"/>
      <c r="D98" s="76"/>
      <c r="E98" s="76"/>
      <c r="F98" s="76"/>
      <c r="I98" s="32"/>
    </row>
    <row r="99" spans="1:16" s="115" customFormat="1" x14ac:dyDescent="0.3">
      <c r="A99" s="133"/>
      <c r="B99" s="133"/>
      <c r="C99" s="133"/>
      <c r="D99" s="114"/>
      <c r="E99" s="114"/>
      <c r="F99" s="114"/>
      <c r="G99" s="115" t="str">
        <f xml:space="preserve"> G$66</f>
        <v xml:space="preserve"> – Labor costs (manufacturing)</v>
      </c>
      <c r="I99" s="116" t="str">
        <f xml:space="preserve"> I$66</f>
        <v>$</v>
      </c>
      <c r="K99" s="115">
        <f t="shared" ref="K99:P99" si="37" xml:space="preserve"> K$66</f>
        <v>0</v>
      </c>
      <c r="L99" s="115">
        <f t="shared" si="37"/>
        <v>-24000</v>
      </c>
      <c r="M99" s="115">
        <f t="shared" si="37"/>
        <v>-26400</v>
      </c>
      <c r="N99" s="115">
        <f t="shared" si="37"/>
        <v>-29040</v>
      </c>
      <c r="O99" s="115">
        <f t="shared" si="37"/>
        <v>-31944</v>
      </c>
      <c r="P99" s="115">
        <f t="shared" si="37"/>
        <v>-35140</v>
      </c>
    </row>
    <row r="100" spans="1:16" s="112" customFormat="1" x14ac:dyDescent="0.3">
      <c r="A100" s="110">
        <f xml:space="preserve"> Assumptions!B$18</f>
        <v>14</v>
      </c>
      <c r="B100" s="110"/>
      <c r="C100" s="110"/>
      <c r="D100" s="111"/>
      <c r="E100" s="117"/>
      <c r="F100" s="117"/>
      <c r="G100" s="112" t="str">
        <f xml:space="preserve"> Assumptions!H$18</f>
        <v>Salaries and Wages will be paid</v>
      </c>
      <c r="H100" s="155" t="str">
        <f xml:space="preserve"> Assumptions!I$18</f>
        <v>monthly</v>
      </c>
      <c r="I100" s="113"/>
    </row>
    <row r="101" spans="1:16" s="11" customFormat="1" ht="14.4" x14ac:dyDescent="0.3">
      <c r="A101" s="72"/>
      <c r="B101" s="72"/>
      <c r="C101" s="72"/>
      <c r="D101" s="76"/>
      <c r="E101" s="76"/>
      <c r="F101" s="413" t="s">
        <v>231</v>
      </c>
      <c r="G101" s="95" t="str">
        <f xml:space="preserve"> INDEX( SplitScreenStrip!$13:$23, MATCH( $F101, SplitScreenStrip!$F$13:$F$23, 0 ), MATCH( $F$4, SplitScreenStrip!$11:$11, 0 ) )</f>
        <v xml:space="preserve"> – Payments to employees (manufacturing)</v>
      </c>
      <c r="I101" s="32" t="s">
        <v>21</v>
      </c>
      <c r="K101" s="95">
        <f t="shared" ref="K101:P101" si="38" xml:space="preserve"> (-1) * K99</f>
        <v>0</v>
      </c>
      <c r="L101" s="95">
        <f t="shared" si="38"/>
        <v>24000</v>
      </c>
      <c r="M101" s="95">
        <f t="shared" si="38"/>
        <v>26400</v>
      </c>
      <c r="N101" s="95">
        <f t="shared" si="38"/>
        <v>29040</v>
      </c>
      <c r="O101" s="95">
        <f t="shared" si="38"/>
        <v>31944</v>
      </c>
      <c r="P101" s="95">
        <f t="shared" si="38"/>
        <v>35140</v>
      </c>
    </row>
    <row r="102" spans="1:16" s="11" customFormat="1" x14ac:dyDescent="0.3">
      <c r="A102" s="75"/>
      <c r="B102" s="75"/>
      <c r="C102" s="75"/>
      <c r="D102" s="76"/>
      <c r="E102" s="76"/>
      <c r="F102" s="76"/>
      <c r="I102" s="32"/>
    </row>
    <row r="103" spans="1:16" s="115" customFormat="1" x14ac:dyDescent="0.3">
      <c r="A103" s="133"/>
      <c r="B103" s="133"/>
      <c r="C103" s="133"/>
      <c r="D103" s="114"/>
      <c r="E103" s="114"/>
      <c r="F103" s="114"/>
      <c r="G103" s="115" t="str">
        <f xml:space="preserve"> G$78</f>
        <v xml:space="preserve"> – Labor costs (nonmanufacturing)</v>
      </c>
      <c r="I103" s="116" t="str">
        <f xml:space="preserve"> I$78</f>
        <v>$</v>
      </c>
      <c r="K103" s="115">
        <f t="shared" ref="K103:P103" si="39" xml:space="preserve"> K$78</f>
        <v>0</v>
      </c>
      <c r="L103" s="115">
        <f t="shared" si="39"/>
        <v>-6000</v>
      </c>
      <c r="M103" s="115">
        <f t="shared" si="39"/>
        <v>-6000</v>
      </c>
      <c r="N103" s="115">
        <f t="shared" si="39"/>
        <v>-6000</v>
      </c>
      <c r="O103" s="115">
        <f t="shared" si="39"/>
        <v>-6000</v>
      </c>
      <c r="P103" s="115">
        <f t="shared" si="39"/>
        <v>-6000</v>
      </c>
    </row>
    <row r="104" spans="1:16" s="112" customFormat="1" x14ac:dyDescent="0.3">
      <c r="A104" s="110">
        <f xml:space="preserve"> Assumptions!B$18</f>
        <v>14</v>
      </c>
      <c r="B104" s="110"/>
      <c r="C104" s="110"/>
      <c r="D104" s="111"/>
      <c r="E104" s="117"/>
      <c r="F104" s="117"/>
      <c r="G104" s="112" t="str">
        <f xml:space="preserve"> Assumptions!H$18</f>
        <v>Salaries and Wages will be paid</v>
      </c>
      <c r="H104" s="155" t="str">
        <f xml:space="preserve"> Assumptions!I$18</f>
        <v>monthly</v>
      </c>
      <c r="I104" s="113"/>
    </row>
    <row r="105" spans="1:16" s="11" customFormat="1" ht="14.4" x14ac:dyDescent="0.3">
      <c r="A105" s="72"/>
      <c r="B105" s="72"/>
      <c r="C105" s="72"/>
      <c r="D105" s="76"/>
      <c r="E105" s="76"/>
      <c r="F105" s="414" t="s">
        <v>232</v>
      </c>
      <c r="G105" s="95" t="str">
        <f xml:space="preserve"> INDEX( SplitScreenStrip!$13:$23, MATCH( $F105, SplitScreenStrip!$F$13:$F$23, 0 ), MATCH( $F$4, SplitScreenStrip!$11:$11, 0 ) )</f>
        <v xml:space="preserve"> – Payments to employees (nonmanufacturing)</v>
      </c>
      <c r="I105" s="32" t="s">
        <v>21</v>
      </c>
      <c r="K105" s="95">
        <f t="shared" ref="K105:P105" si="40" xml:space="preserve"> (-1) * K103</f>
        <v>0</v>
      </c>
      <c r="L105" s="95">
        <f t="shared" si="40"/>
        <v>6000</v>
      </c>
      <c r="M105" s="95">
        <f t="shared" si="40"/>
        <v>6000</v>
      </c>
      <c r="N105" s="95">
        <f t="shared" si="40"/>
        <v>6000</v>
      </c>
      <c r="O105" s="95">
        <f t="shared" si="40"/>
        <v>6000</v>
      </c>
      <c r="P105" s="95">
        <f t="shared" si="40"/>
        <v>6000</v>
      </c>
    </row>
    <row r="106" spans="1:16" s="11" customFormat="1" x14ac:dyDescent="0.3">
      <c r="A106" s="75"/>
      <c r="B106" s="75"/>
      <c r="C106" s="75"/>
      <c r="D106" s="76"/>
      <c r="E106" s="76"/>
      <c r="F106" s="76"/>
      <c r="I106" s="32"/>
    </row>
    <row r="107" spans="1:16" s="11" customFormat="1" x14ac:dyDescent="0.3">
      <c r="A107" s="75"/>
      <c r="B107" s="75"/>
      <c r="C107" s="75"/>
      <c r="D107" s="76"/>
      <c r="E107" s="76"/>
      <c r="F107" s="76"/>
      <c r="I107" s="32"/>
    </row>
    <row r="108" spans="1:16" s="90" customFormat="1" ht="15.6" x14ac:dyDescent="0.3">
      <c r="A108" s="87"/>
      <c r="B108" s="87"/>
      <c r="C108" s="87"/>
      <c r="D108" s="88"/>
      <c r="E108" s="88"/>
      <c r="F108" s="89"/>
      <c r="G108" s="90" t="str">
        <f xml:space="preserve"> Assumptions!F19</f>
        <v>Taxes</v>
      </c>
      <c r="I108" s="91"/>
    </row>
    <row r="109" spans="1:16" s="11" customFormat="1" x14ac:dyDescent="0.3">
      <c r="A109" s="82"/>
      <c r="B109" s="82"/>
      <c r="C109" s="82"/>
      <c r="D109" s="76"/>
      <c r="E109" s="76"/>
      <c r="F109" s="15"/>
      <c r="I109" s="14"/>
    </row>
    <row r="110" spans="1:16" s="112" customFormat="1" x14ac:dyDescent="0.3">
      <c r="A110" s="110">
        <f xml:space="preserve"> Assumptions!B$20</f>
        <v>16</v>
      </c>
      <c r="B110" s="110"/>
      <c r="C110" s="110"/>
      <c r="D110" s="111"/>
      <c r="E110" s="117"/>
      <c r="F110" s="117"/>
      <c r="G110" s="112" t="str">
        <f xml:space="preserve"> Assumptions!H$20</f>
        <v>Taxes are paid</v>
      </c>
      <c r="H110" s="112" t="str">
        <f xml:space="preserve"> Assumptions!I$20</f>
        <v>yearly</v>
      </c>
      <c r="I110" s="113"/>
    </row>
    <row r="111" spans="1:16" s="11" customFormat="1" x14ac:dyDescent="0.3">
      <c r="A111" s="75"/>
      <c r="B111" s="75"/>
      <c r="C111" s="75"/>
      <c r="D111" s="370" t="s">
        <v>16</v>
      </c>
      <c r="F111" s="76"/>
      <c r="G111" s="95" t="str">
        <f xml:space="preserve"> INDEX( SplitScreenStrip!$13:$23, MATCH( $D111, SplitScreenStrip!$D$13:$D$23, 0 ), MATCH( $D$4, SplitScreenStrip!$11:$11, 0 ) )</f>
        <v xml:space="preserve"> – Taxes Payable</v>
      </c>
      <c r="I111" s="14" t="s">
        <v>21</v>
      </c>
      <c r="K111" s="95">
        <v>0</v>
      </c>
      <c r="L111" s="95">
        <v>0</v>
      </c>
      <c r="M111" s="95">
        <v>0</v>
      </c>
      <c r="N111" s="95">
        <v>0</v>
      </c>
      <c r="O111" s="95">
        <v>0</v>
      </c>
      <c r="P111" s="95">
        <v>0</v>
      </c>
    </row>
    <row r="112" spans="1:16" s="11" customFormat="1" x14ac:dyDescent="0.3">
      <c r="A112" s="75"/>
      <c r="B112" s="75"/>
      <c r="C112" s="75"/>
      <c r="D112" s="76"/>
      <c r="E112" s="76"/>
      <c r="F112" s="76"/>
      <c r="I112" s="32"/>
    </row>
    <row r="113" spans="1:16" s="11" customFormat="1" x14ac:dyDescent="0.3">
      <c r="A113" s="75"/>
      <c r="B113" s="75"/>
      <c r="C113" s="75"/>
      <c r="D113" s="76"/>
      <c r="E113" s="76"/>
      <c r="F113" s="76"/>
      <c r="I113" s="32"/>
    </row>
    <row r="114" spans="1:16" s="90" customFormat="1" ht="15.6" x14ac:dyDescent="0.3">
      <c r="A114" s="87"/>
      <c r="B114" s="87"/>
      <c r="C114" s="87"/>
      <c r="D114" s="88"/>
      <c r="E114" s="88"/>
      <c r="F114" s="89"/>
      <c r="G114" s="90" t="str">
        <f xml:space="preserve"> Assumptions!F22</f>
        <v>Debt financing</v>
      </c>
      <c r="I114" s="91"/>
    </row>
    <row r="115" spans="1:16" s="11" customFormat="1" x14ac:dyDescent="0.3">
      <c r="A115" s="82"/>
      <c r="B115" s="82"/>
      <c r="C115" s="82"/>
      <c r="D115" s="76"/>
      <c r="E115" s="76"/>
      <c r="F115" s="15"/>
      <c r="I115" s="14"/>
    </row>
    <row r="116" spans="1:16" s="106" customFormat="1" x14ac:dyDescent="0.3">
      <c r="A116" s="103">
        <f xml:space="preserve"> Assumptions!B$22</f>
        <v>18</v>
      </c>
      <c r="B116" s="103"/>
      <c r="C116" s="103"/>
      <c r="D116" s="105"/>
      <c r="E116" s="105"/>
      <c r="G116" s="106" t="str">
        <f xml:space="preserve"> Assumptions!H$22</f>
        <v>Loan amount</v>
      </c>
      <c r="H116" s="106">
        <f xml:space="preserve"> Assumptions!I$22</f>
        <v>12000</v>
      </c>
      <c r="I116" s="107" t="str">
        <f xml:space="preserve"> Assumptions!J$22</f>
        <v>$</v>
      </c>
    </row>
    <row r="117" spans="1:16" s="119" customFormat="1" x14ac:dyDescent="0.3">
      <c r="A117" s="132"/>
      <c r="B117" s="132"/>
      <c r="C117" s="132"/>
      <c r="D117" s="79"/>
      <c r="E117" s="79"/>
      <c r="F117" s="79"/>
      <c r="G117" s="80" t="str">
        <f xml:space="preserve"> G$10</f>
        <v>Investment period flag</v>
      </c>
      <c r="I117" s="81" t="str">
        <f xml:space="preserve"> I$10</f>
        <v>flag</v>
      </c>
      <c r="J117" s="80"/>
      <c r="K117" s="119">
        <f t="shared" ref="K117:P117" si="41" xml:space="preserve"> K$10</f>
        <v>1</v>
      </c>
      <c r="L117" s="119">
        <f t="shared" si="41"/>
        <v>0</v>
      </c>
      <c r="M117" s="119">
        <f t="shared" si="41"/>
        <v>0</v>
      </c>
      <c r="N117" s="119">
        <f t="shared" si="41"/>
        <v>0</v>
      </c>
      <c r="O117" s="119">
        <f t="shared" si="41"/>
        <v>0</v>
      </c>
      <c r="P117" s="119">
        <f t="shared" si="41"/>
        <v>0</v>
      </c>
    </row>
    <row r="118" spans="1:16" s="11" customFormat="1" x14ac:dyDescent="0.3">
      <c r="A118" s="75"/>
      <c r="B118" s="75"/>
      <c r="C118" s="75"/>
      <c r="D118" s="76"/>
      <c r="E118" s="76"/>
      <c r="F118" s="76"/>
      <c r="G118" s="11" t="s">
        <v>62</v>
      </c>
      <c r="I118" s="32" t="s">
        <v>21</v>
      </c>
      <c r="K118" s="11">
        <f t="shared" ref="K118:P118" si="42" xml:space="preserve"> $H116 * K117</f>
        <v>12000</v>
      </c>
      <c r="L118" s="11">
        <f t="shared" si="42"/>
        <v>0</v>
      </c>
      <c r="M118" s="11">
        <f t="shared" si="42"/>
        <v>0</v>
      </c>
      <c r="N118" s="11">
        <f t="shared" si="42"/>
        <v>0</v>
      </c>
      <c r="O118" s="11">
        <f t="shared" si="42"/>
        <v>0</v>
      </c>
      <c r="P118" s="11">
        <f t="shared" si="42"/>
        <v>0</v>
      </c>
    </row>
    <row r="119" spans="1:16" s="11" customFormat="1" x14ac:dyDescent="0.3">
      <c r="A119" s="82"/>
      <c r="B119" s="82"/>
      <c r="C119" s="82"/>
      <c r="D119" s="76"/>
      <c r="E119" s="76"/>
      <c r="F119" s="15"/>
      <c r="I119" s="14"/>
    </row>
    <row r="120" spans="1:16" s="106" customFormat="1" x14ac:dyDescent="0.3">
      <c r="A120" s="103">
        <f xml:space="preserve"> Assumptions!B$22</f>
        <v>18</v>
      </c>
      <c r="B120" s="103"/>
      <c r="C120" s="103"/>
      <c r="D120" s="105"/>
      <c r="E120" s="105"/>
      <c r="G120" s="106" t="str">
        <f xml:space="preserve"> Assumptions!H$22</f>
        <v>Loan amount</v>
      </c>
      <c r="H120" s="106">
        <f xml:space="preserve"> Assumptions!I$22</f>
        <v>12000</v>
      </c>
      <c r="I120" s="107" t="str">
        <f xml:space="preserve"> Assumptions!J$22</f>
        <v>$</v>
      </c>
    </row>
    <row r="121" spans="1:16" s="118" customFormat="1" x14ac:dyDescent="0.3">
      <c r="A121" s="110">
        <f xml:space="preserve"> Assumptions!B$24</f>
        <v>20</v>
      </c>
      <c r="B121" s="110"/>
      <c r="C121" s="110"/>
      <c r="D121" s="111"/>
      <c r="E121" s="111"/>
      <c r="F121" s="111"/>
      <c r="G121" s="112" t="str">
        <f xml:space="preserve"> Assumptions!H$24</f>
        <v>Loan reimbursement periods</v>
      </c>
      <c r="H121" s="118">
        <f xml:space="preserve"> Assumptions!I$24</f>
        <v>5</v>
      </c>
      <c r="I121" s="113" t="str">
        <f xml:space="preserve"> Assumptions!J$24</f>
        <v>y</v>
      </c>
      <c r="J121" s="112"/>
    </row>
    <row r="122" spans="1:16" s="11" customFormat="1" x14ac:dyDescent="0.3">
      <c r="A122" s="75"/>
      <c r="B122" s="75"/>
      <c r="C122" s="75"/>
      <c r="D122" s="76"/>
      <c r="E122" s="76"/>
      <c r="F122" s="76"/>
      <c r="G122" s="11" t="s">
        <v>152</v>
      </c>
      <c r="H122" s="11">
        <f xml:space="preserve"> H120 / H121</f>
        <v>2400</v>
      </c>
      <c r="I122" s="32" t="s">
        <v>21</v>
      </c>
    </row>
    <row r="123" spans="1:16" s="119" customFormat="1" x14ac:dyDescent="0.3">
      <c r="A123" s="132"/>
      <c r="B123" s="132"/>
      <c r="C123" s="132"/>
      <c r="D123" s="79"/>
      <c r="E123" s="79"/>
      <c r="F123" s="79"/>
      <c r="G123" s="80" t="str">
        <f xml:space="preserve"> G$15</f>
        <v>Loan reimbursement period flag</v>
      </c>
      <c r="I123" s="81" t="str">
        <f t="shared" ref="I123:P123" si="43" xml:space="preserve"> I$15</f>
        <v>flag</v>
      </c>
      <c r="J123" s="80"/>
      <c r="K123" s="119">
        <f t="shared" si="43"/>
        <v>0</v>
      </c>
      <c r="L123" s="119">
        <f t="shared" si="43"/>
        <v>1</v>
      </c>
      <c r="M123" s="119">
        <f t="shared" si="43"/>
        <v>1</v>
      </c>
      <c r="N123" s="119">
        <f t="shared" si="43"/>
        <v>1</v>
      </c>
      <c r="O123" s="119">
        <f t="shared" si="43"/>
        <v>1</v>
      </c>
      <c r="P123" s="119">
        <f t="shared" si="43"/>
        <v>1</v>
      </c>
    </row>
    <row r="124" spans="1:16" s="11" customFormat="1" x14ac:dyDescent="0.3">
      <c r="A124" s="75"/>
      <c r="B124" s="75"/>
      <c r="C124" s="75"/>
      <c r="D124" s="76"/>
      <c r="E124" s="76"/>
      <c r="F124" s="76"/>
      <c r="G124" s="11" t="s">
        <v>607</v>
      </c>
      <c r="I124" s="32" t="s">
        <v>21</v>
      </c>
      <c r="K124" s="11">
        <f t="shared" ref="K124:P124" si="44" xml:space="preserve"> (-1) * $H122 * K123</f>
        <v>0</v>
      </c>
      <c r="L124" s="11">
        <f t="shared" si="44"/>
        <v>-2400</v>
      </c>
      <c r="M124" s="11">
        <f t="shared" si="44"/>
        <v>-2400</v>
      </c>
      <c r="N124" s="11">
        <f t="shared" si="44"/>
        <v>-2400</v>
      </c>
      <c r="O124" s="11">
        <f t="shared" si="44"/>
        <v>-2400</v>
      </c>
      <c r="P124" s="11">
        <f t="shared" si="44"/>
        <v>-2400</v>
      </c>
    </row>
    <row r="125" spans="1:16" s="11" customFormat="1" x14ac:dyDescent="0.3">
      <c r="A125" s="75"/>
      <c r="B125" s="75"/>
      <c r="C125" s="75"/>
      <c r="D125" s="76"/>
      <c r="E125" s="76"/>
      <c r="F125" s="76"/>
      <c r="I125" s="32"/>
    </row>
    <row r="126" spans="1:16" s="115" customFormat="1" x14ac:dyDescent="0.3">
      <c r="A126" s="133"/>
      <c r="B126" s="133"/>
      <c r="C126" s="133"/>
      <c r="D126" s="114"/>
      <c r="E126" s="114"/>
      <c r="F126" s="114"/>
      <c r="G126" s="115" t="str">
        <f xml:space="preserve"> G$118</f>
        <v>Loan</v>
      </c>
      <c r="I126" s="116" t="str">
        <f xml:space="preserve"> I$118</f>
        <v>$</v>
      </c>
      <c r="K126" s="115">
        <f t="shared" ref="K126:P126" si="45" xml:space="preserve"> K$118</f>
        <v>12000</v>
      </c>
      <c r="L126" s="115">
        <f t="shared" si="45"/>
        <v>0</v>
      </c>
      <c r="M126" s="115">
        <f t="shared" si="45"/>
        <v>0</v>
      </c>
      <c r="N126" s="115">
        <f t="shared" si="45"/>
        <v>0</v>
      </c>
      <c r="O126" s="115">
        <f t="shared" si="45"/>
        <v>0</v>
      </c>
      <c r="P126" s="115">
        <f t="shared" si="45"/>
        <v>0</v>
      </c>
    </row>
    <row r="127" spans="1:16" s="80" customFormat="1" x14ac:dyDescent="0.3">
      <c r="A127" s="134"/>
      <c r="B127" s="134"/>
      <c r="C127" s="134"/>
      <c r="D127" s="79"/>
      <c r="E127" s="79"/>
      <c r="F127" s="79"/>
      <c r="G127" s="80" t="str">
        <f xml:space="preserve"> G$124</f>
        <v xml:space="preserve"> – Principal repayments</v>
      </c>
      <c r="I127" s="81" t="str">
        <f xml:space="preserve"> I$124</f>
        <v>$</v>
      </c>
      <c r="K127" s="80">
        <f t="shared" ref="K127:P127" si="46" xml:space="preserve"> K$124</f>
        <v>0</v>
      </c>
      <c r="L127" s="80">
        <f t="shared" si="46"/>
        <v>-2400</v>
      </c>
      <c r="M127" s="80">
        <f t="shared" si="46"/>
        <v>-2400</v>
      </c>
      <c r="N127" s="80">
        <f t="shared" si="46"/>
        <v>-2400</v>
      </c>
      <c r="O127" s="80">
        <f t="shared" si="46"/>
        <v>-2400</v>
      </c>
      <c r="P127" s="80">
        <f t="shared" si="46"/>
        <v>-2400</v>
      </c>
    </row>
    <row r="128" spans="1:16" s="11" customFormat="1" ht="14.4" x14ac:dyDescent="0.3">
      <c r="A128" s="75"/>
      <c r="B128" s="75"/>
      <c r="C128" s="75"/>
      <c r="D128" s="415" t="s">
        <v>233</v>
      </c>
      <c r="E128" s="76"/>
      <c r="F128" s="76"/>
      <c r="G128" s="95" t="str">
        <f xml:space="preserve"> INDEX( SplitScreenStrip!$13:$23, MATCH( $D128, SplitScreenStrip!$D$13:$D$23, 0 ), MATCH( $D$4, SplitScreenStrip!$11:$11, 0 ) )</f>
        <v xml:space="preserve"> + Debt</v>
      </c>
      <c r="I128" s="32" t="s">
        <v>21</v>
      </c>
      <c r="K128" s="95">
        <f t="shared" ref="K128:P128" si="47" xml:space="preserve"> J128 + K126 + K127</f>
        <v>12000</v>
      </c>
      <c r="L128" s="95">
        <f t="shared" si="47"/>
        <v>9600</v>
      </c>
      <c r="M128" s="95">
        <f t="shared" si="47"/>
        <v>7200</v>
      </c>
      <c r="N128" s="95">
        <f t="shared" si="47"/>
        <v>4800</v>
      </c>
      <c r="O128" s="95">
        <f t="shared" si="47"/>
        <v>2400</v>
      </c>
      <c r="P128" s="95">
        <f t="shared" si="47"/>
        <v>0</v>
      </c>
    </row>
    <row r="129" spans="1:9" s="11" customFormat="1" x14ac:dyDescent="0.3">
      <c r="A129" s="75"/>
      <c r="B129" s="75"/>
      <c r="C129" s="75"/>
      <c r="D129" s="76"/>
      <c r="E129" s="76"/>
      <c r="F129" s="76"/>
      <c r="I129" s="32"/>
    </row>
    <row r="130" spans="1:9" s="11" customFormat="1" x14ac:dyDescent="0.3">
      <c r="A130" s="75"/>
      <c r="B130" s="75"/>
      <c r="C130" s="75"/>
      <c r="D130" s="76"/>
      <c r="E130" s="76"/>
      <c r="F130" s="76"/>
      <c r="I130" s="32"/>
    </row>
  </sheetData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D8867-D5BA-424D-BD6E-0899F336423A}">
  <sheetPr codeName="Sheet4"/>
  <dimension ref="A1:AC106"/>
  <sheetViews>
    <sheetView zoomScaleNormal="100" workbookViewId="0">
      <pane xSplit="6" ySplit="9" topLeftCell="G10" activePane="bottomRight" state="frozen"/>
      <selection activeCell="K6" sqref="K6"/>
      <selection pane="topRight" activeCell="K6" sqref="K6"/>
      <selection pane="bottomLeft" activeCell="K6" sqref="K6"/>
      <selection pane="bottomRight" activeCell="G60" sqref="G60"/>
    </sheetView>
  </sheetViews>
  <sheetFormatPr defaultColWidth="9.109375" defaultRowHeight="13.2" x14ac:dyDescent="0.3"/>
  <cols>
    <col min="1" max="1" width="5.33203125" style="9" customWidth="1"/>
    <col min="2" max="2" width="5.6640625" style="9" customWidth="1"/>
    <col min="3" max="3" width="13" style="9" bestFit="1" customWidth="1"/>
    <col min="4" max="4" width="8.5546875" style="2" bestFit="1" customWidth="1"/>
    <col min="5" max="5" width="11.44140625" style="3" bestFit="1" customWidth="1"/>
    <col min="6" max="6" width="11.5546875" style="3" bestFit="1" customWidth="1"/>
    <col min="7" max="7" width="31.5546875" style="3" customWidth="1"/>
    <col min="8" max="8" width="31.33203125" style="3" customWidth="1"/>
    <col min="9" max="9" width="38.109375" style="3" customWidth="1"/>
    <col min="10" max="10" width="35.5546875" style="3" customWidth="1"/>
    <col min="11" max="11" width="33.6640625" style="3" customWidth="1"/>
    <col min="12" max="12" width="35.5546875" style="3" customWidth="1"/>
    <col min="13" max="14" width="31.5546875" style="3" customWidth="1"/>
    <col min="15" max="15" width="36.21875" style="3" customWidth="1"/>
    <col min="16" max="17" width="31.5546875" style="3" customWidth="1"/>
    <col min="18" max="18" width="38" style="3" customWidth="1"/>
    <col min="19" max="20" width="31.5546875" style="3" customWidth="1"/>
    <col min="21" max="21" width="36.77734375" style="3" customWidth="1"/>
    <col min="22" max="22" width="35.33203125" style="3" customWidth="1"/>
    <col min="23" max="23" width="33.5546875" style="3" customWidth="1"/>
    <col min="24" max="24" width="41.33203125" style="3" customWidth="1"/>
    <col min="25" max="25" width="31.5546875" style="3" customWidth="1"/>
    <col min="26" max="26" width="9.109375" style="3"/>
    <col min="27" max="29" width="35.6640625" style="3" customWidth="1"/>
    <col min="30" max="16384" width="9.109375" style="3"/>
  </cols>
  <sheetData>
    <row r="1" spans="1:29" ht="37.5" customHeight="1" x14ac:dyDescent="0.3">
      <c r="A1" s="1"/>
      <c r="B1" s="1"/>
      <c r="C1" s="1"/>
    </row>
    <row r="2" spans="1:29" s="58" customFormat="1" x14ac:dyDescent="0.3">
      <c r="A2" s="9"/>
      <c r="B2" s="9"/>
      <c r="C2" s="228" t="s">
        <v>329</v>
      </c>
      <c r="D2" s="147">
        <f xml:space="preserve"> Assumptions!I$5</f>
        <v>5</v>
      </c>
    </row>
    <row r="3" spans="1:29" s="58" customFormat="1" ht="14.4" x14ac:dyDescent="0.3">
      <c r="A3" s="92"/>
      <c r="B3" s="92"/>
      <c r="C3" s="228" t="s">
        <v>0</v>
      </c>
      <c r="D3" s="148">
        <f xml:space="preserve"> Assumptions!$I$19</f>
        <v>0.3</v>
      </c>
      <c r="E3" s="150" t="s">
        <v>192</v>
      </c>
      <c r="F3" s="149">
        <f xml:space="preserve"> Assumptions!$I$27</f>
        <v>0.15</v>
      </c>
      <c r="H3" s="625"/>
      <c r="J3" s="92"/>
    </row>
    <row r="4" spans="1:29" s="58" customFormat="1" ht="14.4" x14ac:dyDescent="0.25">
      <c r="A4" s="9"/>
      <c r="B4" s="9"/>
      <c r="C4" s="228" t="s">
        <v>303</v>
      </c>
      <c r="D4" s="149">
        <f xml:space="preserve"> Assumptions!$I$25</f>
        <v>2.5000000000000001E-2</v>
      </c>
      <c r="E4" s="150" t="s">
        <v>193</v>
      </c>
      <c r="F4" s="149">
        <f xml:space="preserve"> Assumptions!$I$28</f>
        <v>0.01</v>
      </c>
      <c r="H4" s="129"/>
    </row>
    <row r="5" spans="1:29" s="58" customFormat="1" ht="14.4" x14ac:dyDescent="0.3">
      <c r="A5" s="9"/>
      <c r="B5" s="9"/>
      <c r="C5" s="228" t="s">
        <v>304</v>
      </c>
      <c r="D5" s="149">
        <f xml:space="preserve"> Assumptions!$I$23</f>
        <v>0.02</v>
      </c>
      <c r="E5" s="150" t="s">
        <v>194</v>
      </c>
      <c r="F5" s="149">
        <f xml:space="preserve"> Assumptions!$I$29</f>
        <v>1.4999999999999999E-2</v>
      </c>
    </row>
    <row r="6" spans="1:29" s="58" customFormat="1" x14ac:dyDescent="0.3">
      <c r="A6" s="9"/>
      <c r="B6" s="9"/>
      <c r="C6" s="228" t="s">
        <v>330</v>
      </c>
      <c r="D6" s="148">
        <f xml:space="preserve"> Assumptions!$I$26</f>
        <v>0.2</v>
      </c>
    </row>
    <row r="7" spans="1:29" ht="13.8" thickBot="1" x14ac:dyDescent="0.35">
      <c r="A7" s="4"/>
      <c r="B7" s="4"/>
      <c r="C7" s="1"/>
      <c r="E7" s="5"/>
      <c r="F7" s="5"/>
      <c r="G7" s="6"/>
      <c r="K7" s="6"/>
      <c r="L7" s="6"/>
      <c r="M7" s="6"/>
    </row>
    <row r="8" spans="1:29" s="53" customFormat="1" ht="10.8" thickBot="1" x14ac:dyDescent="0.35">
      <c r="A8" s="93"/>
      <c r="B8" s="93"/>
      <c r="C8" s="94"/>
      <c r="G8" s="691" t="s">
        <v>1</v>
      </c>
      <c r="H8" s="373" t="s">
        <v>2</v>
      </c>
      <c r="I8" s="378" t="s">
        <v>3</v>
      </c>
      <c r="J8" s="692" t="s">
        <v>1</v>
      </c>
      <c r="K8" s="373" t="s">
        <v>2</v>
      </c>
      <c r="L8" s="378" t="s">
        <v>3</v>
      </c>
      <c r="M8" s="692" t="s">
        <v>1</v>
      </c>
      <c r="N8" s="373" t="s">
        <v>2</v>
      </c>
      <c r="O8" s="378" t="s">
        <v>3</v>
      </c>
      <c r="P8" s="692" t="s">
        <v>1</v>
      </c>
      <c r="Q8" s="373" t="s">
        <v>2</v>
      </c>
      <c r="R8" s="378" t="s">
        <v>3</v>
      </c>
      <c r="S8" s="692" t="s">
        <v>1</v>
      </c>
      <c r="T8" s="373" t="s">
        <v>2</v>
      </c>
      <c r="U8" s="378" t="s">
        <v>3</v>
      </c>
      <c r="V8" s="692" t="s">
        <v>1</v>
      </c>
      <c r="W8" s="373" t="s">
        <v>2</v>
      </c>
      <c r="X8" s="378" t="s">
        <v>3</v>
      </c>
      <c r="Y8" s="693" t="s">
        <v>1</v>
      </c>
    </row>
    <row r="9" spans="1:29" s="53" customFormat="1" ht="10.8" thickBot="1" x14ac:dyDescent="0.35">
      <c r="A9" s="93"/>
      <c r="B9" s="93"/>
      <c r="C9" s="94"/>
      <c r="D9" s="100"/>
      <c r="E9" s="100"/>
      <c r="G9" s="212">
        <v>-1</v>
      </c>
      <c r="H9" s="213">
        <v>0</v>
      </c>
      <c r="I9" s="213">
        <v>0</v>
      </c>
      <c r="J9" s="213">
        <v>0</v>
      </c>
      <c r="K9" s="214">
        <v>1</v>
      </c>
      <c r="L9" s="214">
        <v>1</v>
      </c>
      <c r="M9" s="214">
        <v>1</v>
      </c>
      <c r="N9" s="213">
        <v>2</v>
      </c>
      <c r="O9" s="213">
        <v>2</v>
      </c>
      <c r="P9" s="213">
        <v>2</v>
      </c>
      <c r="Q9" s="214">
        <v>3</v>
      </c>
      <c r="R9" s="214">
        <v>3</v>
      </c>
      <c r="S9" s="214">
        <v>3</v>
      </c>
      <c r="T9" s="213">
        <v>4</v>
      </c>
      <c r="U9" s="213">
        <v>4</v>
      </c>
      <c r="V9" s="213">
        <v>4</v>
      </c>
      <c r="W9" s="214">
        <v>5</v>
      </c>
      <c r="X9" s="214">
        <v>5</v>
      </c>
      <c r="Y9" s="215">
        <v>5</v>
      </c>
    </row>
    <row r="10" spans="1:29" ht="13.8" thickBot="1" x14ac:dyDescent="0.35"/>
    <row r="11" spans="1:29" s="98" customFormat="1" ht="16.8" thickBot="1" x14ac:dyDescent="0.35">
      <c r="A11" s="96"/>
      <c r="B11" s="97" t="s">
        <v>155</v>
      </c>
      <c r="C11" s="96"/>
      <c r="D11" s="99"/>
      <c r="E11" s="97"/>
      <c r="F11" s="97"/>
      <c r="AA11" s="121" t="s">
        <v>1</v>
      </c>
      <c r="AB11" s="121" t="s">
        <v>2</v>
      </c>
      <c r="AC11" s="121" t="s">
        <v>3</v>
      </c>
    </row>
    <row r="12" spans="1:29" s="8" customFormat="1" ht="16.8" thickBot="1" x14ac:dyDescent="0.35">
      <c r="A12" s="7"/>
      <c r="B12" s="7"/>
      <c r="C12" s="412" t="s">
        <v>499</v>
      </c>
      <c r="D12" s="101" t="s">
        <v>1</v>
      </c>
      <c r="E12" s="330" t="s">
        <v>2</v>
      </c>
      <c r="F12" s="192" t="s">
        <v>49</v>
      </c>
      <c r="G12" s="996" t="s">
        <v>520</v>
      </c>
      <c r="H12" s="1017" t="s">
        <v>72</v>
      </c>
      <c r="I12" s="1036" t="s">
        <v>48</v>
      </c>
      <c r="J12" s="996" t="s">
        <v>4</v>
      </c>
      <c r="K12" s="1017" t="s">
        <v>73</v>
      </c>
      <c r="L12" s="1036" t="s">
        <v>74</v>
      </c>
      <c r="M12" s="996" t="s">
        <v>75</v>
      </c>
      <c r="N12" s="1017" t="s">
        <v>76</v>
      </c>
      <c r="O12" s="1036" t="s">
        <v>77</v>
      </c>
      <c r="P12" s="996" t="s">
        <v>78</v>
      </c>
      <c r="Q12" s="1017" t="s">
        <v>79</v>
      </c>
      <c r="R12" s="1036" t="s">
        <v>80</v>
      </c>
      <c r="S12" s="996" t="s">
        <v>81</v>
      </c>
      <c r="T12" s="1017" t="s">
        <v>82</v>
      </c>
      <c r="U12" s="1036" t="s">
        <v>83</v>
      </c>
      <c r="V12" s="996" t="s">
        <v>84</v>
      </c>
      <c r="W12" s="1017" t="s">
        <v>85</v>
      </c>
      <c r="X12" s="1036" t="s">
        <v>86</v>
      </c>
      <c r="Y12" s="996" t="s">
        <v>87</v>
      </c>
      <c r="AA12" s="638" t="s">
        <v>202</v>
      </c>
      <c r="AB12" s="642" t="s">
        <v>203</v>
      </c>
      <c r="AC12" s="102" t="s">
        <v>601</v>
      </c>
    </row>
    <row r="13" spans="1:29" ht="15" customHeight="1" x14ac:dyDescent="0.3">
      <c r="C13" s="317" t="s">
        <v>500</v>
      </c>
      <c r="D13" s="323" t="s">
        <v>10</v>
      </c>
      <c r="E13" s="249" t="s">
        <v>11</v>
      </c>
      <c r="F13" s="248" t="s">
        <v>513</v>
      </c>
      <c r="G13" s="997">
        <v>0</v>
      </c>
      <c r="H13" s="1018" cm="1">
        <f t="array" ref="H13" xml:space="preserve"> INDEX( DataProcess!$K:$P, MATCH( $E13, DataProcess!$E:$E, 0 ), H$9+1 )</f>
        <v>0</v>
      </c>
      <c r="I13" s="1007">
        <f xml:space="preserve"> J13 - G13 - H13</f>
        <v>0</v>
      </c>
      <c r="J13" s="997" cm="1">
        <f t="array" ref="J13" xml:space="preserve"> INDEX( DataProcess!$K:$P, MATCH( $D13, DataProcess!$D:$D, 0 ), J$9+1 )</f>
        <v>0</v>
      </c>
      <c r="K13" s="1018" cm="1">
        <f t="array" ref="K13" xml:space="preserve"> INDEX( DataProcess!$K:$P, MATCH( $E13, DataProcess!$E:$E, 0 ), K$9+1 )</f>
        <v>60000</v>
      </c>
      <c r="L13" s="1007">
        <f xml:space="preserve"> M13 - J13 - K13</f>
        <v>-55068.493150684932</v>
      </c>
      <c r="M13" s="997" cm="1">
        <f t="array" ref="M13" xml:space="preserve"> INDEX( DataProcess!$K:$P, MATCH( $D13, DataProcess!$D:$D, 0 ), M$9+1 )</f>
        <v>4931.5068493150684</v>
      </c>
      <c r="N13" s="1018" cm="1">
        <f t="array" ref="N13" xml:space="preserve"> INDEX( DataProcess!$K:$P, MATCH( $E13, DataProcess!$E:$E, 0 ), N$9+1 )</f>
        <v>66000</v>
      </c>
      <c r="O13" s="1007">
        <f xml:space="preserve"> P13 - M13 - N13</f>
        <v>-65506.849315068495</v>
      </c>
      <c r="P13" s="997" cm="1">
        <f t="array" ref="P13" xml:space="preserve"> INDEX( DataProcess!$K:$P, MATCH( $D13, DataProcess!$D:$D, 0 ), P$9+1 )</f>
        <v>5424.6575342465758</v>
      </c>
      <c r="Q13" s="1018" cm="1">
        <f t="array" ref="Q13" xml:space="preserve"> INDEX( DataProcess!$K:$P, MATCH( $E13, DataProcess!$E:$E, 0 ), Q$9+1 )</f>
        <v>72600</v>
      </c>
      <c r="R13" s="1007">
        <f xml:space="preserve"> S13 - P13 - Q13</f>
        <v>-72057.534246575349</v>
      </c>
      <c r="S13" s="997" cm="1">
        <f t="array" ref="S13" xml:space="preserve"> INDEX( DataProcess!$K:$P, MATCH( $D13, DataProcess!$D:$D, 0 ), S$9+1 )</f>
        <v>5967.1232876712329</v>
      </c>
      <c r="T13" s="1018" cm="1">
        <f t="array" ref="T13" xml:space="preserve"> INDEX( DataProcess!$K:$P, MATCH( $E13, DataProcess!$E:$E, 0 ), T$9+1 )</f>
        <v>79860</v>
      </c>
      <c r="U13" s="1007">
        <f xml:space="preserve"> V13 - S13 - T13</f>
        <v>-79263.287671232873</v>
      </c>
      <c r="V13" s="997" cm="1">
        <f t="array" ref="V13" xml:space="preserve"> INDEX( DataProcess!$K:$P, MATCH( $D13, DataProcess!$D:$D, 0 ), V$9+1 )</f>
        <v>6563.8356164383567</v>
      </c>
      <c r="W13" s="1018" cm="1">
        <f t="array" ref="W13" xml:space="preserve"> INDEX( DataProcess!$K:$P, MATCH( $E13, DataProcess!$E:$E, 0 ), W$9+1 )</f>
        <v>87850</v>
      </c>
      <c r="X13" s="1007">
        <f xml:space="preserve"> Y13 - V13 - W13</f>
        <v>-94413.835616438359</v>
      </c>
      <c r="Y13" s="997" cm="1">
        <f t="array" ref="Y13" xml:space="preserve"> INDEX( DataProcess!$K:$P, MATCH( $D13, DataProcess!$D:$D, 0 ), Y$9+1 )</f>
        <v>0</v>
      </c>
      <c r="AA13" s="639" t="s">
        <v>190</v>
      </c>
      <c r="AB13" s="643" t="s">
        <v>51</v>
      </c>
      <c r="AC13" s="646" t="s">
        <v>170</v>
      </c>
    </row>
    <row r="14" spans="1:29" ht="15" customHeight="1" x14ac:dyDescent="0.3">
      <c r="C14" s="318" t="s">
        <v>501</v>
      </c>
      <c r="D14" s="371" t="s">
        <v>12</v>
      </c>
      <c r="E14" s="372" t="s">
        <v>13</v>
      </c>
      <c r="F14" s="374" t="s">
        <v>153</v>
      </c>
      <c r="G14" s="998">
        <v>0</v>
      </c>
      <c r="H14" s="1019">
        <f xml:space="preserve"> J14 - G14 + I14</f>
        <v>3750</v>
      </c>
      <c r="I14" s="1008">
        <v>0</v>
      </c>
      <c r="J14" s="998" cm="1">
        <f t="array" ref="J14" xml:space="preserve"> INDEX( DataProcess!$K:$P, MATCH( $D14, DataProcess!$D:$D, 0 ), J$9+1 )</f>
        <v>3750</v>
      </c>
      <c r="K14" s="1019">
        <f xml:space="preserve"> M14 - J14 + L14</f>
        <v>375</v>
      </c>
      <c r="L14" s="1008">
        <v>0</v>
      </c>
      <c r="M14" s="998" cm="1">
        <f t="array" ref="M14" xml:space="preserve"> INDEX( DataProcess!$K:$P, MATCH( $D14, DataProcess!$D:$D, 0 ), M$9+1 )</f>
        <v>4125</v>
      </c>
      <c r="N14" s="1019">
        <f xml:space="preserve"> P14 - M14 + O14</f>
        <v>412.5</v>
      </c>
      <c r="O14" s="1008">
        <v>0</v>
      </c>
      <c r="P14" s="998" cm="1">
        <f t="array" ref="P14" xml:space="preserve"> INDEX( DataProcess!$K:$P, MATCH( $D14, DataProcess!$D:$D, 0 ), P$9+1 )</f>
        <v>4537.5</v>
      </c>
      <c r="Q14" s="1019">
        <f xml:space="preserve"> S14 - P14 + R14</f>
        <v>453.75</v>
      </c>
      <c r="R14" s="1008">
        <v>0</v>
      </c>
      <c r="S14" s="998" cm="1">
        <f t="array" ref="S14" xml:space="preserve"> INDEX( DataProcess!$K:$P, MATCH( $D14, DataProcess!$D:$D, 0 ), S$9+1 )</f>
        <v>4991.25</v>
      </c>
      <c r="T14" s="1019">
        <f xml:space="preserve"> V14 - S14 + U14</f>
        <v>499.375</v>
      </c>
      <c r="U14" s="1008">
        <v>0</v>
      </c>
      <c r="V14" s="998" cm="1">
        <f t="array" ref="V14" xml:space="preserve"> INDEX( DataProcess!$K:$P, MATCH( $D14, DataProcess!$D:$D, 0 ), V$9+1 )</f>
        <v>5490.625</v>
      </c>
      <c r="W14" s="1019">
        <f xml:space="preserve"> Y14 - V14 + X14</f>
        <v>-5490.625</v>
      </c>
      <c r="X14" s="1008">
        <v>0</v>
      </c>
      <c r="Y14" s="998" cm="1">
        <f t="array" ref="Y14" xml:space="preserve"> INDEX( DataProcess!$K:$P, MATCH( $D14, DataProcess!$D:$D, 0 ), Y$9+1 )</f>
        <v>0</v>
      </c>
      <c r="AA14" s="640" t="s">
        <v>52</v>
      </c>
      <c r="AB14" s="644" t="s">
        <v>126</v>
      </c>
      <c r="AC14" s="647" t="s">
        <v>171</v>
      </c>
    </row>
    <row r="15" spans="1:29" ht="15" customHeight="1" x14ac:dyDescent="0.3">
      <c r="C15" s="318" t="s">
        <v>502</v>
      </c>
      <c r="D15" s="371" t="s">
        <v>172</v>
      </c>
      <c r="E15" s="372" t="s">
        <v>259</v>
      </c>
      <c r="F15" s="374" t="s">
        <v>514</v>
      </c>
      <c r="G15" s="999">
        <v>0</v>
      </c>
      <c r="H15" s="1020" cm="1">
        <f t="array" ref="H15" xml:space="preserve"> INDEX( DataProcess!$K:$P, MATCH( $E15, DataProcess!$E:$E, 0 ), H$9+1 )</f>
        <v>-3750</v>
      </c>
      <c r="I15" s="1009">
        <f xml:space="preserve"> J15 - G15 - H15</f>
        <v>3750</v>
      </c>
      <c r="J15" s="999" cm="1">
        <f t="array" ref="J15" xml:space="preserve"> INDEX( DataProcess!$K:$P, MATCH( $D15, DataProcess!$D:$D, 0 ), J$9+1 )</f>
        <v>0</v>
      </c>
      <c r="K15" s="1020" cm="1">
        <f t="array" ref="K15" xml:space="preserve"> INDEX( DataProcess!$K:$P, MATCH( $E15, DataProcess!$E:$E, 0 ), K$9+1 )</f>
        <v>-15375</v>
      </c>
      <c r="L15" s="1009">
        <f xml:space="preserve"> M15 - J15 - K15</f>
        <v>11583.904109589041</v>
      </c>
      <c r="M15" s="999" cm="1">
        <f t="array" ref="M15" xml:space="preserve"> INDEX( DataProcess!$K:$P, MATCH( $D15, DataProcess!$D:$D, 0 ), M$9+1 )</f>
        <v>-3791.0958904109589</v>
      </c>
      <c r="N15" s="1020" cm="1">
        <f t="array" ref="N15" xml:space="preserve"> INDEX( DataProcess!$K:$P, MATCH( $E15, DataProcess!$E:$E, 0 ), N$9+1 )</f>
        <v>-16912.5</v>
      </c>
      <c r="O15" s="1009">
        <f xml:space="preserve"> P15 - M15 - N15</f>
        <v>16533.390410958906</v>
      </c>
      <c r="P15" s="999" cm="1">
        <f t="array" ref="P15" xml:space="preserve"> INDEX( DataProcess!$K:$P, MATCH( $D15, DataProcess!$D:$D, 0 ), P$9+1 )</f>
        <v>-4170.2054794520545</v>
      </c>
      <c r="Q15" s="1020" cm="1">
        <f t="array" ref="Q15" xml:space="preserve"> INDEX( DataProcess!$K:$P, MATCH( $E15, DataProcess!$E:$E, 0 ), Q$9+1 )</f>
        <v>-18603.75</v>
      </c>
      <c r="R15" s="1009">
        <f xml:space="preserve"> S15 - P15 - Q15</f>
        <v>18186.729452054795</v>
      </c>
      <c r="S15" s="999" cm="1">
        <f t="array" ref="S15" xml:space="preserve"> INDEX( DataProcess!$K:$P, MATCH( $D15, DataProcess!$D:$D, 0 ), S$9+1 )</f>
        <v>-4587.2260273972606</v>
      </c>
      <c r="T15" s="1020" cm="1">
        <f t="array" ref="T15" xml:space="preserve"> INDEX( DataProcess!$K:$P, MATCH( $E15, DataProcess!$E:$E, 0 ), T$9+1 )</f>
        <v>-20464.375</v>
      </c>
      <c r="U15" s="1009">
        <f xml:space="preserve"> V15 - S15 - T15</f>
        <v>20005.590753424658</v>
      </c>
      <c r="V15" s="999" cm="1">
        <f t="array" ref="V15" xml:space="preserve"> INDEX( DataProcess!$K:$P, MATCH( $D15, DataProcess!$D:$D, 0 ), V$9+1 )</f>
        <v>-5046.0102739726026</v>
      </c>
      <c r="W15" s="1020" cm="1">
        <f t="array" ref="W15" xml:space="preserve"> INDEX( DataProcess!$K:$P, MATCH( $E15, DataProcess!$E:$E, 0 ), W$9+1 )</f>
        <v>-16471.875</v>
      </c>
      <c r="X15" s="1009">
        <f xml:space="preserve"> Y15 - V15 - W15</f>
        <v>21517.885273972603</v>
      </c>
      <c r="Y15" s="999" cm="1">
        <f t="array" ref="Y15" xml:space="preserve"> INDEX( DataProcess!$K:$P, MATCH( $D15, DataProcess!$D:$D, 0 ), Y$9+1 )</f>
        <v>0</v>
      </c>
      <c r="AA15" s="640" t="s">
        <v>111</v>
      </c>
      <c r="AB15" s="644" t="s">
        <v>109</v>
      </c>
      <c r="AC15" s="647" t="s">
        <v>130</v>
      </c>
    </row>
    <row r="16" spans="1:29" ht="15" customHeight="1" x14ac:dyDescent="0.3">
      <c r="C16" s="318" t="s">
        <v>503</v>
      </c>
      <c r="D16" s="371" t="s">
        <v>173</v>
      </c>
      <c r="E16" s="372" t="s">
        <v>260</v>
      </c>
      <c r="F16" s="374" t="s">
        <v>515</v>
      </c>
      <c r="G16" s="1000">
        <v>0</v>
      </c>
      <c r="H16" s="1021" cm="1">
        <f t="array" ref="H16" xml:space="preserve"> INDEX( DataProcess!$K:$P, MATCH( $E16, DataProcess!$E:$E, 0 ), H$9+1 )</f>
        <v>0</v>
      </c>
      <c r="I16" s="1010">
        <f xml:space="preserve"> J16 - G16 - H16</f>
        <v>0</v>
      </c>
      <c r="J16" s="1000" cm="1">
        <f t="array" ref="J16" xml:space="preserve"> INDEX( DataProcess!$K:$P, MATCH( $D16, DataProcess!$D:$D, 0 ), J$9+1 )</f>
        <v>0</v>
      </c>
      <c r="K16" s="1021" cm="1">
        <f t="array" ref="K16" xml:space="preserve"> INDEX( DataProcess!$K:$P, MATCH( $E16, DataProcess!$E:$E, 0 ), K$9+1 )</f>
        <v>-9000</v>
      </c>
      <c r="L16" s="1010">
        <f xml:space="preserve"> M16 - J16 - K16</f>
        <v>6780.821917808219</v>
      </c>
      <c r="M16" s="1000" cm="1">
        <f t="array" ref="M16" xml:space="preserve"> INDEX( DataProcess!$K:$P, MATCH( $D16, DataProcess!$D:$D, 0 ), M$9+1 )</f>
        <v>-2219.178082191781</v>
      </c>
      <c r="N16" s="1021" cm="1">
        <f t="array" ref="N16" xml:space="preserve"> INDEX( DataProcess!$K:$P, MATCH( $E16, DataProcess!$E:$E, 0 ), N$9+1 )</f>
        <v>-9900</v>
      </c>
      <c r="O16" s="1010">
        <f xml:space="preserve"> P16 - M16 - N16</f>
        <v>9678.0821917808225</v>
      </c>
      <c r="P16" s="1000" cm="1">
        <f t="array" ref="P16" xml:space="preserve"> INDEX( DataProcess!$K:$P, MATCH( $D16, DataProcess!$D:$D, 0 ), P$9+1 )</f>
        <v>-2441.0958904109589</v>
      </c>
      <c r="Q16" s="1021" cm="1">
        <f t="array" ref="Q16" xml:space="preserve"> INDEX( DataProcess!$K:$P, MATCH( $E16, DataProcess!$E:$E, 0 ), Q$9+1 )</f>
        <v>-10890</v>
      </c>
      <c r="R16" s="1010">
        <f xml:space="preserve"> S16 - P16 - Q16</f>
        <v>10645.890410958904</v>
      </c>
      <c r="S16" s="1000" cm="1">
        <f t="array" ref="S16" xml:space="preserve"> INDEX( DataProcess!$K:$P, MATCH( $D16, DataProcess!$D:$D, 0 ), S$9+1 )</f>
        <v>-2685.205479452055</v>
      </c>
      <c r="T16" s="1021" cm="1">
        <f t="array" ref="T16" xml:space="preserve"> INDEX( DataProcess!$K:$P, MATCH( $E16, DataProcess!$E:$E, 0 ), T$9+1 )</f>
        <v>-11979</v>
      </c>
      <c r="U16" s="1010">
        <f xml:space="preserve"> V16 - S16 - T16</f>
        <v>11710.479452054795</v>
      </c>
      <c r="V16" s="1000" cm="1">
        <f t="array" ref="V16" xml:space="preserve"> INDEX( DataProcess!$K:$P, MATCH( $D16, DataProcess!$D:$D, 0 ), V$9+1 )</f>
        <v>-2953.7260273972602</v>
      </c>
      <c r="W16" s="1021" cm="1">
        <f t="array" ref="W16" xml:space="preserve"> INDEX( DataProcess!$K:$P, MATCH( $E16, DataProcess!$E:$E, 0 ), W$9+1 )</f>
        <v>-13178</v>
      </c>
      <c r="X16" s="1010">
        <f xml:space="preserve"> Y16 - V16 - W16</f>
        <v>16131.726027397261</v>
      </c>
      <c r="Y16" s="1000" cm="1">
        <f t="array" ref="Y16" xml:space="preserve"> INDEX( DataProcess!$K:$P, MATCH( $D16, DataProcess!$D:$D, 0 ), Y$9+1 )</f>
        <v>0</v>
      </c>
      <c r="AA16" s="640" t="s">
        <v>112</v>
      </c>
      <c r="AB16" s="644" t="s">
        <v>113</v>
      </c>
      <c r="AC16" s="647" t="s">
        <v>131</v>
      </c>
    </row>
    <row r="17" spans="1:29" ht="15" customHeight="1" x14ac:dyDescent="0.3">
      <c r="C17" s="318" t="s">
        <v>504</v>
      </c>
      <c r="D17" s="371" t="s">
        <v>174</v>
      </c>
      <c r="E17" s="372" t="s">
        <v>261</v>
      </c>
      <c r="F17" s="374" t="s">
        <v>516</v>
      </c>
      <c r="G17" s="1001">
        <v>0</v>
      </c>
      <c r="H17" s="1022" cm="1">
        <f t="array" ref="H17" xml:space="preserve"> INDEX( DataProcess!$K:$P, MATCH( $E17, DataProcess!$E:$E, 0 ), H$9+1 )</f>
        <v>0</v>
      </c>
      <c r="I17" s="1011" cm="1">
        <f t="array" ref="I17" xml:space="preserve"> INDEX( DataProcess!$K:$P, MATCH( $F17, DataProcess!$F:$F, 0 ), I$9+1 )</f>
        <v>0</v>
      </c>
      <c r="J17" s="1001">
        <f xml:space="preserve"> G17 + H17 + I17</f>
        <v>0</v>
      </c>
      <c r="K17" s="1022" cm="1">
        <f t="array" ref="K17" xml:space="preserve"> INDEX( DataProcess!$K:$P, MATCH( $E17, DataProcess!$E:$E, 0 ), K$9+1 )</f>
        <v>-24000</v>
      </c>
      <c r="L17" s="1011" cm="1">
        <f t="array" ref="L17" xml:space="preserve"> INDEX( DataProcess!$K:$P, MATCH( $F17, DataProcess!$F:$F, 0 ), L$9+1 )</f>
        <v>24000</v>
      </c>
      <c r="M17" s="1001">
        <f xml:space="preserve"> J17 + K17 + L17</f>
        <v>0</v>
      </c>
      <c r="N17" s="1022" cm="1">
        <f t="array" ref="N17" xml:space="preserve"> INDEX( DataProcess!$K:$P, MATCH( $E17, DataProcess!$E:$E, 0 ), N$9+1 )</f>
        <v>-26400</v>
      </c>
      <c r="O17" s="1011" cm="1">
        <f t="array" ref="O17" xml:space="preserve"> INDEX( DataProcess!$K:$P, MATCH( $F17, DataProcess!$F:$F, 0 ), O$9+1 )</f>
        <v>26400</v>
      </c>
      <c r="P17" s="1001">
        <f xml:space="preserve"> M17 + N17 + O17</f>
        <v>0</v>
      </c>
      <c r="Q17" s="1022" cm="1">
        <f t="array" ref="Q17" xml:space="preserve"> INDEX( DataProcess!$K:$P, MATCH( $E17, DataProcess!$E:$E, 0 ), Q$9+1 )</f>
        <v>-29040</v>
      </c>
      <c r="R17" s="1011" cm="1">
        <f t="array" ref="R17" xml:space="preserve"> INDEX( DataProcess!$K:$P, MATCH( $F17, DataProcess!$F:$F, 0 ), R$9+1 )</f>
        <v>29040</v>
      </c>
      <c r="S17" s="1001">
        <f xml:space="preserve"> P17 + Q17 + R17</f>
        <v>0</v>
      </c>
      <c r="T17" s="1022" cm="1">
        <f t="array" ref="T17" xml:space="preserve"> INDEX( DataProcess!$K:$P, MATCH( $E17, DataProcess!$E:$E, 0 ), T$9+1 )</f>
        <v>-31944</v>
      </c>
      <c r="U17" s="1011" cm="1">
        <f t="array" ref="U17" xml:space="preserve"> INDEX( DataProcess!$K:$P, MATCH( $F17, DataProcess!$F:$F, 0 ), U$9+1 )</f>
        <v>31944</v>
      </c>
      <c r="V17" s="1001">
        <f xml:space="preserve"> S17 + T17 + U17</f>
        <v>0</v>
      </c>
      <c r="W17" s="1022" cm="1">
        <f t="array" ref="W17" xml:space="preserve"> INDEX( DataProcess!$K:$P, MATCH( $E17, DataProcess!$E:$E, 0 ), W$9+1 )</f>
        <v>-35140</v>
      </c>
      <c r="X17" s="1011" cm="1">
        <f t="array" ref="X17" xml:space="preserve"> INDEX( DataProcess!$K:$P, MATCH( $F17, DataProcess!$F:$F, 0 ), X$9+1 )</f>
        <v>35140</v>
      </c>
      <c r="Y17" s="1001">
        <f xml:space="preserve"> V17 + W17 + X17</f>
        <v>0</v>
      </c>
      <c r="AA17" s="640" t="s">
        <v>189</v>
      </c>
      <c r="AB17" s="644" t="s">
        <v>110</v>
      </c>
      <c r="AC17" s="647" t="s">
        <v>132</v>
      </c>
    </row>
    <row r="18" spans="1:29" ht="15" customHeight="1" x14ac:dyDescent="0.3">
      <c r="C18" s="318" t="s">
        <v>608</v>
      </c>
      <c r="D18" s="371" t="s">
        <v>175</v>
      </c>
      <c r="E18" s="372" t="s">
        <v>262</v>
      </c>
      <c r="F18" s="374" t="s">
        <v>517</v>
      </c>
      <c r="G18" s="1002">
        <v>0</v>
      </c>
      <c r="H18" s="1023" cm="1">
        <f t="array" ref="H18" xml:space="preserve"> INDEX( DataProcess!$K:$P, MATCH( $E18, DataProcess!$E:$E, 0 ), H$9+1 )</f>
        <v>0</v>
      </c>
      <c r="I18" s="1012" cm="1">
        <f t="array" ref="I18" xml:space="preserve"> INDEX( DataProcess!$K:$P, MATCH( $F18, DataProcess!$F:$F, 0 ), I$9+1 )</f>
        <v>0</v>
      </c>
      <c r="J18" s="1002">
        <f xml:space="preserve"> G18 + H18 + I18</f>
        <v>0</v>
      </c>
      <c r="K18" s="1023" cm="1">
        <f t="array" ref="K18" xml:space="preserve"> INDEX( DataProcess!$K:$P, MATCH( $E18, DataProcess!$E:$E, 0 ), K$9+1 )</f>
        <v>-6000</v>
      </c>
      <c r="L18" s="1012" cm="1">
        <f t="array" ref="L18" xml:space="preserve"> INDEX( DataProcess!$K:$P, MATCH( $F18, DataProcess!$F:$F, 0 ), L$9+1 )</f>
        <v>6000</v>
      </c>
      <c r="M18" s="1002">
        <f xml:space="preserve"> J18 + K18 + L18</f>
        <v>0</v>
      </c>
      <c r="N18" s="1023" cm="1">
        <f t="array" ref="N18" xml:space="preserve"> INDEX( DataProcess!$K:$P, MATCH( $E18, DataProcess!$E:$E, 0 ), N$9+1 )</f>
        <v>-6000</v>
      </c>
      <c r="O18" s="1012" cm="1">
        <f t="array" ref="O18" xml:space="preserve"> INDEX( DataProcess!$K:$P, MATCH( $F18, DataProcess!$F:$F, 0 ), O$9+1 )</f>
        <v>6000</v>
      </c>
      <c r="P18" s="1002">
        <f xml:space="preserve"> M18 + N18 + O18</f>
        <v>0</v>
      </c>
      <c r="Q18" s="1023" cm="1">
        <f t="array" ref="Q18" xml:space="preserve"> INDEX( DataProcess!$K:$P, MATCH( $E18, DataProcess!$E:$E, 0 ), Q$9+1 )</f>
        <v>-6000</v>
      </c>
      <c r="R18" s="1012" cm="1">
        <f t="array" ref="R18" xml:space="preserve"> INDEX( DataProcess!$K:$P, MATCH( $F18, DataProcess!$F:$F, 0 ), R$9+1 )</f>
        <v>6000</v>
      </c>
      <c r="S18" s="1002">
        <f xml:space="preserve"> P18 + Q18 + R18</f>
        <v>0</v>
      </c>
      <c r="T18" s="1023" cm="1">
        <f t="array" ref="T18" xml:space="preserve"> INDEX( DataProcess!$K:$P, MATCH( $E18, DataProcess!$E:$E, 0 ), T$9+1 )</f>
        <v>-6000</v>
      </c>
      <c r="U18" s="1012" cm="1">
        <f t="array" ref="U18" xml:space="preserve"> INDEX( DataProcess!$K:$P, MATCH( $F18, DataProcess!$F:$F, 0 ), U$9+1 )</f>
        <v>6000</v>
      </c>
      <c r="V18" s="1002">
        <f xml:space="preserve"> S18 + T18 + U18</f>
        <v>0</v>
      </c>
      <c r="W18" s="1023" cm="1">
        <f t="array" ref="W18" xml:space="preserve"> INDEX( DataProcess!$K:$P, MATCH( $E18, DataProcess!$E:$E, 0 ), W$9+1 )</f>
        <v>-6000</v>
      </c>
      <c r="X18" s="1012" cm="1">
        <f t="array" ref="X18" xml:space="preserve"> INDEX( DataProcess!$K:$P, MATCH( $F18, DataProcess!$F:$F, 0 ), X$9+1 )</f>
        <v>6000</v>
      </c>
      <c r="Y18" s="1002">
        <f xml:space="preserve"> V18 + W18 + X18</f>
        <v>0</v>
      </c>
      <c r="AA18" s="640" t="s">
        <v>115</v>
      </c>
      <c r="AB18" s="644" t="s">
        <v>114</v>
      </c>
      <c r="AC18" s="647" t="s">
        <v>133</v>
      </c>
    </row>
    <row r="19" spans="1:29" ht="15" customHeight="1" x14ac:dyDescent="0.3">
      <c r="C19" s="318" t="s">
        <v>505</v>
      </c>
      <c r="D19" s="371" t="s">
        <v>14</v>
      </c>
      <c r="E19" s="372" t="s">
        <v>15</v>
      </c>
      <c r="F19" s="374" t="s">
        <v>518</v>
      </c>
      <c r="G19" s="1035">
        <v>0</v>
      </c>
      <c r="H19" s="1024" cm="1">
        <f t="array" ref="H19" xml:space="preserve"> INDEX( DataProcess!$K:$P, MATCH( $E19, DataProcess!$E:$E, 0 ), H$9+1 )</f>
        <v>0</v>
      </c>
      <c r="I19" s="1034" cm="1">
        <f t="array" ref="I19" xml:space="preserve"> INDEX( DataProcess!$K:$P, MATCH( $F19, DataProcess!$F:$F, 0 ), I$9+1 )</f>
        <v>20000</v>
      </c>
      <c r="J19" s="1035">
        <f xml:space="preserve"> G19 + H19 + I19</f>
        <v>20000</v>
      </c>
      <c r="K19" s="1024" cm="1">
        <f t="array" ref="K19" xml:space="preserve"> INDEX( DataProcess!$K:$P, MATCH( $E19, DataProcess!$E:$E, 0 ), K$9+1 )</f>
        <v>-4000</v>
      </c>
      <c r="L19" s="1034" cm="1">
        <f t="array" ref="L19" xml:space="preserve"> INDEX( DataProcess!$K:$P, MATCH( $F19, DataProcess!$F:$F, 0 ), L$9+1 )</f>
        <v>0</v>
      </c>
      <c r="M19" s="1035">
        <f xml:space="preserve"> J19 + K19 + L19</f>
        <v>16000</v>
      </c>
      <c r="N19" s="1024" cm="1">
        <f t="array" ref="N19" xml:space="preserve"> INDEX( DataProcess!$K:$P, MATCH( $E19, DataProcess!$E:$E, 0 ), N$9+1 )</f>
        <v>-4000</v>
      </c>
      <c r="O19" s="1034" cm="1">
        <f t="array" ref="O19" xml:space="preserve"> INDEX( DataProcess!$K:$P, MATCH( $F19, DataProcess!$F:$F, 0 ), O$9+1 )</f>
        <v>0</v>
      </c>
      <c r="P19" s="1035">
        <f xml:space="preserve"> M19 + N19 + O19</f>
        <v>12000</v>
      </c>
      <c r="Q19" s="1024" cm="1">
        <f t="array" ref="Q19" xml:space="preserve"> INDEX( DataProcess!$K:$P, MATCH( $E19, DataProcess!$E:$E, 0 ), Q$9+1 )</f>
        <v>-4000</v>
      </c>
      <c r="R19" s="1034" cm="1">
        <f t="array" ref="R19" xml:space="preserve"> INDEX( DataProcess!$K:$P, MATCH( $F19, DataProcess!$F:$F, 0 ), R$9+1 )</f>
        <v>0</v>
      </c>
      <c r="S19" s="1035">
        <f xml:space="preserve"> P19 + Q19 + R19</f>
        <v>8000</v>
      </c>
      <c r="T19" s="1024" cm="1">
        <f t="array" ref="T19" xml:space="preserve"> INDEX( DataProcess!$K:$P, MATCH( $E19, DataProcess!$E:$E, 0 ), T$9+1 )</f>
        <v>-4000</v>
      </c>
      <c r="U19" s="1034" cm="1">
        <f t="array" ref="U19" xml:space="preserve"> INDEX( DataProcess!$K:$P, MATCH( $F19, DataProcess!$F:$F, 0 ), U$9+1 )</f>
        <v>0</v>
      </c>
      <c r="V19" s="1035">
        <f xml:space="preserve"> S19 + T19 + U19</f>
        <v>4000</v>
      </c>
      <c r="W19" s="1024" cm="1">
        <f t="array" ref="W19" xml:space="preserve"> INDEX( DataProcess!$K:$P, MATCH( $E19, DataProcess!$E:$E, 0 ), W$9+1 )</f>
        <v>-4000</v>
      </c>
      <c r="X19" s="1034" cm="1">
        <f t="array" ref="X19" xml:space="preserve"> INDEX( DataProcess!$K:$P, MATCH( $F19, DataProcess!$F:$F, 0 ), X$9+1 )</f>
        <v>0</v>
      </c>
      <c r="Y19" s="1035">
        <f xml:space="preserve"> V19 + W19 + X19</f>
        <v>0</v>
      </c>
      <c r="AA19" s="640" t="s">
        <v>53</v>
      </c>
      <c r="AB19" s="644" t="s">
        <v>54</v>
      </c>
      <c r="AC19" s="647" t="s">
        <v>800</v>
      </c>
    </row>
    <row r="20" spans="1:29" ht="15" customHeight="1" x14ac:dyDescent="0.3">
      <c r="C20" s="318" t="s">
        <v>506</v>
      </c>
      <c r="D20" s="324" t="s">
        <v>16</v>
      </c>
      <c r="E20" s="188" t="s">
        <v>17</v>
      </c>
      <c r="F20" s="247" t="s">
        <v>519</v>
      </c>
      <c r="G20" s="1003">
        <v>0</v>
      </c>
      <c r="H20" s="1025">
        <f xml:space="preserve"> (-1) * SUM( H13:H19, H21, - H22 ) * $D$3</f>
        <v>0</v>
      </c>
      <c r="I20" s="1013">
        <f xml:space="preserve"> J20 - G20 - H20</f>
        <v>0</v>
      </c>
      <c r="J20" s="1003" cm="1">
        <f t="array" ref="J20" xml:space="preserve"> INDEX( DataProcess!$K:$P, MATCH( $D20, DataProcess!$D:$D, 0 ), J$9+1 )</f>
        <v>0</v>
      </c>
      <c r="K20" s="1025">
        <f xml:space="preserve"> (-1) * SUM( K13:K19, K21, - K22 ) * $D$3</f>
        <v>-499.875</v>
      </c>
      <c r="L20" s="1013">
        <f xml:space="preserve"> M20 - J20 - K20</f>
        <v>499.875</v>
      </c>
      <c r="M20" s="1003" cm="1">
        <f t="array" ref="M20" xml:space="preserve"> INDEX( DataProcess!$K:$P, MATCH( $D20, DataProcess!$D:$D, 0 ), M$9+1 )</f>
        <v>0</v>
      </c>
      <c r="N20" s="1025">
        <f xml:space="preserve"> (-1) * SUM( N13:N19, N21, - N22 ) * $D$3</f>
        <v>-898.55150342465743</v>
      </c>
      <c r="O20" s="1013">
        <f xml:space="preserve"> P20 - M20 - N20</f>
        <v>898.55150342465743</v>
      </c>
      <c r="P20" s="1003" cm="1">
        <f t="array" ref="P20" xml:space="preserve"> INDEX( DataProcess!$K:$P, MATCH( $D20, DataProcess!$D:$D, 0 ), P$9+1 )</f>
        <v>0</v>
      </c>
      <c r="Q20" s="1025">
        <f xml:space="preserve"> (-1) * SUM( Q13:Q19, Q21, - Q22 ) * $D$3</f>
        <v>-1331.2465498150684</v>
      </c>
      <c r="R20" s="1013">
        <f xml:space="preserve"> S20 - P20 - Q20</f>
        <v>1331.2465498150684</v>
      </c>
      <c r="S20" s="1003" cm="1">
        <f t="array" ref="S20" xml:space="preserve"> INDEX( DataProcess!$K:$P, MATCH( $D20, DataProcess!$D:$D, 0 ), S$9+1 )</f>
        <v>0</v>
      </c>
      <c r="T20" s="1025">
        <f xml:space="preserve"> (-1) * SUM( T13:T19, T21, - T22 ) * $D$3</f>
        <v>-1809.3708593891918</v>
      </c>
      <c r="U20" s="1013">
        <f xml:space="preserve"> V20 - S20 - T20</f>
        <v>1809.3708593891918</v>
      </c>
      <c r="V20" s="1003" cm="1">
        <f t="array" ref="V20" xml:space="preserve"> INDEX( DataProcess!$K:$P, MATCH( $D20, DataProcess!$D:$D, 0 ), V$9+1 )</f>
        <v>0</v>
      </c>
      <c r="W20" s="1025">
        <f xml:space="preserve"> (-1) * SUM( W13:W19, W21, - W22 ) * $D$3</f>
        <v>-2337.586182413791</v>
      </c>
      <c r="X20" s="1013">
        <f xml:space="preserve"> Y20 - V20 - W20</f>
        <v>2337.586182413791</v>
      </c>
      <c r="Y20" s="1003" cm="1">
        <f t="array" ref="Y20" xml:space="preserve"> INDEX( DataProcess!$K:$P, MATCH( $D20, DataProcess!$D:$D, 0 ), Y$9+1 )</f>
        <v>0</v>
      </c>
      <c r="AA20" s="640" t="s">
        <v>55</v>
      </c>
      <c r="AB20" s="644" t="s">
        <v>56</v>
      </c>
      <c r="AC20" s="648" t="s">
        <v>305</v>
      </c>
    </row>
    <row r="21" spans="1:29" ht="15" customHeight="1" thickBot="1" x14ac:dyDescent="0.35">
      <c r="C21" s="320" t="s">
        <v>508</v>
      </c>
      <c r="D21" s="325" t="s">
        <v>206</v>
      </c>
      <c r="E21" s="250" t="s">
        <v>207</v>
      </c>
      <c r="F21" s="375" t="s">
        <v>210</v>
      </c>
      <c r="G21" s="1004">
        <v>0</v>
      </c>
      <c r="H21" s="1026">
        <f xml:space="preserve"> G21 * $D$4</f>
        <v>0</v>
      </c>
      <c r="I21" s="1014">
        <f xml:space="preserve"> -SUM( I13:I20 ) +I22 +I23</f>
        <v>-3750</v>
      </c>
      <c r="J21" s="1004">
        <f xml:space="preserve"> G21 + H21 + I21</f>
        <v>-3750</v>
      </c>
      <c r="K21" s="1026">
        <f xml:space="preserve"> J21 * $D$4</f>
        <v>-93.75</v>
      </c>
      <c r="L21" s="1014">
        <f xml:space="preserve"> -SUM( L13:L20 ) +L22 +L23</f>
        <v>3330.6171232876673</v>
      </c>
      <c r="M21" s="1004">
        <f xml:space="preserve"> J21 + K21 + L21</f>
        <v>-513.13287671233275</v>
      </c>
      <c r="N21" s="1026">
        <f xml:space="preserve"> M21 * $D$4</f>
        <v>-12.828321917808319</v>
      </c>
      <c r="O21" s="1014">
        <f xml:space="preserve"> -SUM( O13:O20 ) +O22 +O23</f>
        <v>2985.5011739726046</v>
      </c>
      <c r="P21" s="1004">
        <f xml:space="preserve"> M21 + N21 + O21</f>
        <v>2459.5399753424635</v>
      </c>
      <c r="Q21" s="1026">
        <f xml:space="preserve"> P21 * $D$4</f>
        <v>61.488499383561589</v>
      </c>
      <c r="R21" s="1014">
        <f xml:space="preserve"> -SUM( R13:R20 ) +R22 +R23</f>
        <v>3688.4194438328814</v>
      </c>
      <c r="S21" s="1004">
        <f xml:space="preserve"> P21 + Q21 + R21</f>
        <v>6209.4479185589062</v>
      </c>
      <c r="T21" s="1026">
        <f xml:space="preserve"> S21 * $D$4</f>
        <v>155.23619796397267</v>
      </c>
      <c r="U21" s="1014">
        <f xml:space="preserve"> -SUM( U13:U20 ) +U22 +U23</f>
        <v>4453.4735386492721</v>
      </c>
      <c r="V21" s="1004">
        <f xml:space="preserve"> S21 + T21 + U21</f>
        <v>10818.157655172152</v>
      </c>
      <c r="W21" s="1026">
        <f xml:space="preserve"> V21 * $D$4</f>
        <v>270.45394137930379</v>
      </c>
      <c r="X21" s="1014">
        <f xml:space="preserve"> -SUM( X13:X20 ) +X22 +X23</f>
        <v>-11088.611596551451</v>
      </c>
      <c r="Y21" s="1004">
        <f xml:space="preserve"> V21 + W21 + X21</f>
        <v>0</v>
      </c>
      <c r="AA21" s="734" t="s">
        <v>188</v>
      </c>
      <c r="AB21" s="735" t="s">
        <v>57</v>
      </c>
      <c r="AC21" s="736" t="s">
        <v>134</v>
      </c>
    </row>
    <row r="22" spans="1:29" ht="15" customHeight="1" thickTop="1" x14ac:dyDescent="0.3">
      <c r="C22" s="321" t="s">
        <v>544</v>
      </c>
      <c r="D22" s="326" t="s">
        <v>205</v>
      </c>
      <c r="E22" s="328" t="s">
        <v>208</v>
      </c>
      <c r="F22" s="376" t="s">
        <v>211</v>
      </c>
      <c r="G22" s="1005">
        <v>0</v>
      </c>
      <c r="H22" s="1027">
        <f xml:space="preserve"> G22 * $D$5</f>
        <v>0</v>
      </c>
      <c r="I22" s="1015">
        <f xml:space="preserve"> J22 - G22 - H22</f>
        <v>12000</v>
      </c>
      <c r="J22" s="1005" cm="1">
        <f t="array" ref="J22" xml:space="preserve"> INDEX( DataProcess!$K:$P, MATCH( $D22, DataProcess!$D:$D, 0 ), J$9+1 )</f>
        <v>12000</v>
      </c>
      <c r="K22" s="1027">
        <f xml:space="preserve"> J22 * $D$5</f>
        <v>240</v>
      </c>
      <c r="L22" s="1015">
        <f xml:space="preserve"> M22 - J22 - K22</f>
        <v>-2640</v>
      </c>
      <c r="M22" s="1005" cm="1">
        <f t="array" ref="M22" xml:space="preserve"> INDEX( DataProcess!$K:$P, MATCH( $D22, DataProcess!$D:$D, 0 ), M$9+1 )</f>
        <v>9600</v>
      </c>
      <c r="N22" s="1027">
        <f xml:space="preserve"> M22 * $D$5</f>
        <v>192</v>
      </c>
      <c r="O22" s="1015">
        <f xml:space="preserve"> P22 - M22 - N22</f>
        <v>-2592</v>
      </c>
      <c r="P22" s="1005" cm="1">
        <f t="array" ref="P22" xml:space="preserve"> INDEX( DataProcess!$K:$P, MATCH( $D22, DataProcess!$D:$D, 0 ), P$9+1 )</f>
        <v>7200</v>
      </c>
      <c r="Q22" s="1027">
        <f xml:space="preserve"> P22 * $D$5</f>
        <v>144</v>
      </c>
      <c r="R22" s="1015">
        <f xml:space="preserve"> S22 - P22 - Q22</f>
        <v>-2544</v>
      </c>
      <c r="S22" s="1005" cm="1">
        <f t="array" ref="S22" xml:space="preserve"> INDEX( DataProcess!$K:$P, MATCH( $D22, DataProcess!$D:$D, 0 ), S$9+1 )</f>
        <v>4800</v>
      </c>
      <c r="T22" s="1027">
        <f xml:space="preserve"> S22 * $D$5</f>
        <v>96</v>
      </c>
      <c r="U22" s="1015">
        <f xml:space="preserve"> V22 - S22 - T22</f>
        <v>-2496</v>
      </c>
      <c r="V22" s="1005" cm="1">
        <f t="array" ref="V22" xml:space="preserve"> INDEX( DataProcess!$K:$P, MATCH( $D22, DataProcess!$D:$D, 0 ), V$9+1 )</f>
        <v>2400</v>
      </c>
      <c r="W22" s="1027">
        <f xml:space="preserve"> V22 * $D$5</f>
        <v>48</v>
      </c>
      <c r="X22" s="1015">
        <f xml:space="preserve"> Y22 - V22 - W22</f>
        <v>-2448</v>
      </c>
      <c r="Y22" s="1005" cm="1">
        <f t="array" ref="Y22" xml:space="preserve"> INDEX( DataProcess!$K:$P, MATCH( $D22, DataProcess!$D:$D, 0 ), Y$9+1 )</f>
        <v>0</v>
      </c>
      <c r="AA22" s="737" t="s">
        <v>127</v>
      </c>
      <c r="AB22" s="738" t="s">
        <v>58</v>
      </c>
      <c r="AC22" s="739" t="s">
        <v>129</v>
      </c>
    </row>
    <row r="23" spans="1:29" ht="15" customHeight="1" thickBot="1" x14ac:dyDescent="0.35">
      <c r="C23" s="318" t="s">
        <v>545</v>
      </c>
      <c r="D23" s="327" t="s">
        <v>204</v>
      </c>
      <c r="E23" s="329" t="s">
        <v>209</v>
      </c>
      <c r="F23" s="377" t="s">
        <v>212</v>
      </c>
      <c r="G23" s="1006">
        <v>0</v>
      </c>
      <c r="H23" s="1028">
        <f xml:space="preserve"> SUM( H13:H21, - H22 )</f>
        <v>0</v>
      </c>
      <c r="I23" s="1016">
        <f xml:space="preserve"> IF( I9 = 0, Assumptions!$I$21, IF( I9 &lt; $D$2, - H23 * $D$6, - (G23 + H23) ) )</f>
        <v>8000</v>
      </c>
      <c r="J23" s="1006">
        <f xml:space="preserve"> G23 + H23 + I23</f>
        <v>8000</v>
      </c>
      <c r="K23" s="1028">
        <f xml:space="preserve"> SUM( K13:K21, - K22 )</f>
        <v>1166.375</v>
      </c>
      <c r="L23" s="1016">
        <f xml:space="preserve"> IF( L9 = 0, Assumptions!$I$21, IF( L9 &lt; $D$2, - K23 * $D$6, - (J23 + K23) ) )</f>
        <v>-233.27500000000001</v>
      </c>
      <c r="M23" s="1006">
        <f xml:space="preserve"> J23 + K23 + L23</f>
        <v>8933.1</v>
      </c>
      <c r="N23" s="1028">
        <f xml:space="preserve"> SUM( N13:N21, - N22 )</f>
        <v>2096.6201746575343</v>
      </c>
      <c r="O23" s="1016">
        <f xml:space="preserve"> IF( O9 = 0, Assumptions!$I$21, IF( O9 &lt; $D$2, - N23 * $D$6, - (M23 + N23) ) )</f>
        <v>-419.3240349315069</v>
      </c>
      <c r="P23" s="1006">
        <f xml:space="preserve"> M23 + N23 + O23</f>
        <v>10610.396139726026</v>
      </c>
      <c r="Q23" s="1028">
        <f xml:space="preserve"> SUM( Q13:Q21, - Q22 )</f>
        <v>3106.2419495684931</v>
      </c>
      <c r="R23" s="1016">
        <f xml:space="preserve"> IF( R9 = 0, Assumptions!$I$21, IF( R9 &lt; $D$2, - Q23 * $D$6, - (P23 + Q23) ) )</f>
        <v>-621.2483899136987</v>
      </c>
      <c r="S23" s="1006">
        <f xml:space="preserve"> P23 + Q23 + R23</f>
        <v>13095.389699380821</v>
      </c>
      <c r="T23" s="1028">
        <f xml:space="preserve"> SUM( T13:T21, - T22 )</f>
        <v>4221.8653385747812</v>
      </c>
      <c r="U23" s="1016">
        <f xml:space="preserve"> IF( U9 = 0, Assumptions!$I$21, IF( U9 &lt; $D$2, - T23 * $D$6, - (S23 + T23) ) )</f>
        <v>-844.37306771495628</v>
      </c>
      <c r="V23" s="1006">
        <f xml:space="preserve"> S23 + T23 + U23</f>
        <v>16472.881970240644</v>
      </c>
      <c r="W23" s="1028">
        <f xml:space="preserve"> SUM( W13:W21, - W22 )</f>
        <v>5454.3677589655126</v>
      </c>
      <c r="X23" s="1016">
        <f xml:space="preserve"> IF( X9 = 0, Assumptions!$I$21, IF( X9 &lt; $D$2, - W23 * $D$6, - (V23 + W23) ) )</f>
        <v>-21927.249729206156</v>
      </c>
      <c r="Y23" s="1006">
        <f xml:space="preserve"> V23 + W23 + X23</f>
        <v>0</v>
      </c>
      <c r="AA23" s="641" t="s">
        <v>128</v>
      </c>
      <c r="AB23" s="645" t="s">
        <v>59</v>
      </c>
      <c r="AC23" s="649" t="s">
        <v>135</v>
      </c>
    </row>
    <row r="24" spans="1:29" ht="13.8" thickBot="1" x14ac:dyDescent="0.35"/>
    <row r="25" spans="1:29" s="98" customFormat="1" ht="16.8" thickBot="1" x14ac:dyDescent="0.35">
      <c r="A25" s="96"/>
      <c r="B25" s="97" t="s">
        <v>199</v>
      </c>
      <c r="C25" s="96"/>
      <c r="D25" s="99"/>
      <c r="E25" s="97"/>
      <c r="F25" s="97"/>
    </row>
    <row r="26" spans="1:29" s="8" customFormat="1" ht="16.8" thickBot="1" x14ac:dyDescent="0.35">
      <c r="A26" s="7"/>
      <c r="B26" s="7"/>
      <c r="C26" s="412" t="s">
        <v>499</v>
      </c>
      <c r="D26" s="101" t="s">
        <v>1</v>
      </c>
      <c r="E26" s="330" t="s">
        <v>2</v>
      </c>
      <c r="F26" s="192" t="s">
        <v>49</v>
      </c>
      <c r="G26" s="996" t="s">
        <v>332</v>
      </c>
      <c r="H26" s="1017" t="s">
        <v>72</v>
      </c>
      <c r="I26" s="1036" t="s">
        <v>48</v>
      </c>
      <c r="J26" s="996" t="s">
        <v>4</v>
      </c>
      <c r="K26" s="1017" t="s">
        <v>73</v>
      </c>
      <c r="L26" s="1036" t="s">
        <v>74</v>
      </c>
      <c r="M26" s="996" t="s">
        <v>75</v>
      </c>
      <c r="N26" s="1017" t="s">
        <v>76</v>
      </c>
      <c r="O26" s="1036" t="s">
        <v>77</v>
      </c>
      <c r="P26" s="996" t="s">
        <v>78</v>
      </c>
      <c r="Q26" s="1017" t="s">
        <v>79</v>
      </c>
      <c r="R26" s="1036" t="s">
        <v>80</v>
      </c>
      <c r="S26" s="996" t="s">
        <v>81</v>
      </c>
      <c r="T26" s="1017" t="s">
        <v>82</v>
      </c>
      <c r="U26" s="1036" t="s">
        <v>83</v>
      </c>
      <c r="V26" s="996" t="s">
        <v>84</v>
      </c>
      <c r="W26" s="1017" t="s">
        <v>85</v>
      </c>
      <c r="X26" s="1036" t="s">
        <v>86</v>
      </c>
      <c r="Y26" s="996" t="s">
        <v>87</v>
      </c>
      <c r="AA26" s="638"/>
      <c r="AB26" s="642"/>
      <c r="AC26" s="102"/>
    </row>
    <row r="27" spans="1:29" ht="15" customHeight="1" x14ac:dyDescent="0.3">
      <c r="C27" s="317" t="s">
        <v>500</v>
      </c>
      <c r="D27" s="559" t="s">
        <v>10</v>
      </c>
      <c r="E27" s="249" t="s">
        <v>11</v>
      </c>
      <c r="F27" s="246" t="s">
        <v>213</v>
      </c>
      <c r="G27" s="997">
        <f t="shared" ref="G27:Y27" si="0" xml:space="preserve"> G13</f>
        <v>0</v>
      </c>
      <c r="H27" s="1018">
        <f t="shared" si="0"/>
        <v>0</v>
      </c>
      <c r="I27" s="1007">
        <f t="shared" si="0"/>
        <v>0</v>
      </c>
      <c r="J27" s="997">
        <f t="shared" si="0"/>
        <v>0</v>
      </c>
      <c r="K27" s="1018">
        <f t="shared" si="0"/>
        <v>60000</v>
      </c>
      <c r="L27" s="1007">
        <f t="shared" si="0"/>
        <v>-55068.493150684932</v>
      </c>
      <c r="M27" s="997">
        <f t="shared" si="0"/>
        <v>4931.5068493150684</v>
      </c>
      <c r="N27" s="1018">
        <f t="shared" si="0"/>
        <v>66000</v>
      </c>
      <c r="O27" s="1007">
        <f t="shared" si="0"/>
        <v>-65506.849315068495</v>
      </c>
      <c r="P27" s="997">
        <f t="shared" si="0"/>
        <v>5424.6575342465758</v>
      </c>
      <c r="Q27" s="1018">
        <f t="shared" si="0"/>
        <v>72600</v>
      </c>
      <c r="R27" s="1007">
        <f t="shared" si="0"/>
        <v>-72057.534246575349</v>
      </c>
      <c r="S27" s="997">
        <f t="shared" si="0"/>
        <v>5967.1232876712329</v>
      </c>
      <c r="T27" s="1018">
        <f t="shared" si="0"/>
        <v>79860</v>
      </c>
      <c r="U27" s="1007">
        <f t="shared" si="0"/>
        <v>-79263.287671232873</v>
      </c>
      <c r="V27" s="997">
        <f t="shared" si="0"/>
        <v>6563.8356164383567</v>
      </c>
      <c r="W27" s="1018">
        <f t="shared" si="0"/>
        <v>87850</v>
      </c>
      <c r="X27" s="1007">
        <f t="shared" si="0"/>
        <v>-94413.835616438359</v>
      </c>
      <c r="Y27" s="997">
        <f t="shared" si="0"/>
        <v>0</v>
      </c>
    </row>
    <row r="28" spans="1:29" ht="15" customHeight="1" x14ac:dyDescent="0.3">
      <c r="C28" s="318" t="s">
        <v>501</v>
      </c>
      <c r="D28" s="560" t="s">
        <v>12</v>
      </c>
      <c r="E28" s="188" t="s">
        <v>13</v>
      </c>
      <c r="F28" s="247" t="s">
        <v>153</v>
      </c>
      <c r="G28" s="998">
        <f t="shared" ref="G28:Y28" si="1" xml:space="preserve"> G14</f>
        <v>0</v>
      </c>
      <c r="H28" s="1019">
        <f t="shared" si="1"/>
        <v>3750</v>
      </c>
      <c r="I28" s="1008">
        <f t="shared" si="1"/>
        <v>0</v>
      </c>
      <c r="J28" s="998">
        <f t="shared" si="1"/>
        <v>3750</v>
      </c>
      <c r="K28" s="1019">
        <f t="shared" si="1"/>
        <v>375</v>
      </c>
      <c r="L28" s="1008">
        <f t="shared" si="1"/>
        <v>0</v>
      </c>
      <c r="M28" s="998">
        <f t="shared" si="1"/>
        <v>4125</v>
      </c>
      <c r="N28" s="1019">
        <f t="shared" si="1"/>
        <v>412.5</v>
      </c>
      <c r="O28" s="1008">
        <f t="shared" si="1"/>
        <v>0</v>
      </c>
      <c r="P28" s="998">
        <f t="shared" si="1"/>
        <v>4537.5</v>
      </c>
      <c r="Q28" s="1019">
        <f t="shared" si="1"/>
        <v>453.75</v>
      </c>
      <c r="R28" s="1008">
        <f t="shared" si="1"/>
        <v>0</v>
      </c>
      <c r="S28" s="998">
        <f t="shared" si="1"/>
        <v>4991.25</v>
      </c>
      <c r="T28" s="1019">
        <f t="shared" si="1"/>
        <v>499.375</v>
      </c>
      <c r="U28" s="1008">
        <f t="shared" si="1"/>
        <v>0</v>
      </c>
      <c r="V28" s="998">
        <f t="shared" si="1"/>
        <v>5490.625</v>
      </c>
      <c r="W28" s="1019">
        <f t="shared" si="1"/>
        <v>-5490.625</v>
      </c>
      <c r="X28" s="1008">
        <f t="shared" si="1"/>
        <v>0</v>
      </c>
      <c r="Y28" s="998">
        <f t="shared" si="1"/>
        <v>0</v>
      </c>
    </row>
    <row r="29" spans="1:29" ht="15" customHeight="1" x14ac:dyDescent="0.3">
      <c r="C29" s="318" t="s">
        <v>542</v>
      </c>
      <c r="D29" s="560" t="s">
        <v>197</v>
      </c>
      <c r="E29" s="188" t="s">
        <v>195</v>
      </c>
      <c r="F29" s="294" t="s">
        <v>217</v>
      </c>
      <c r="G29" s="1029">
        <f t="shared" ref="G29:Y29" si="2" xml:space="preserve"> + G15 + G16</f>
        <v>0</v>
      </c>
      <c r="H29" s="1030">
        <f t="shared" si="2"/>
        <v>-3750</v>
      </c>
      <c r="I29" s="1031">
        <f t="shared" si="2"/>
        <v>3750</v>
      </c>
      <c r="J29" s="1029">
        <f t="shared" si="2"/>
        <v>0</v>
      </c>
      <c r="K29" s="1030">
        <f t="shared" si="2"/>
        <v>-24375</v>
      </c>
      <c r="L29" s="1031">
        <f t="shared" si="2"/>
        <v>18364.726027397261</v>
      </c>
      <c r="M29" s="1029">
        <f t="shared" si="2"/>
        <v>-6010.2739726027394</v>
      </c>
      <c r="N29" s="1030">
        <f t="shared" si="2"/>
        <v>-26812.5</v>
      </c>
      <c r="O29" s="1031">
        <f t="shared" si="2"/>
        <v>26211.472602739726</v>
      </c>
      <c r="P29" s="1029">
        <f t="shared" si="2"/>
        <v>-6611.301369863013</v>
      </c>
      <c r="Q29" s="1030">
        <f t="shared" si="2"/>
        <v>-29493.75</v>
      </c>
      <c r="R29" s="1031">
        <f t="shared" si="2"/>
        <v>28832.619863013701</v>
      </c>
      <c r="S29" s="1029">
        <f t="shared" si="2"/>
        <v>-7272.4315068493161</v>
      </c>
      <c r="T29" s="1030">
        <f t="shared" si="2"/>
        <v>-32443.375</v>
      </c>
      <c r="U29" s="1031">
        <f t="shared" si="2"/>
        <v>31716.070205479453</v>
      </c>
      <c r="V29" s="1029">
        <f t="shared" si="2"/>
        <v>-7999.7363013698632</v>
      </c>
      <c r="W29" s="1030">
        <f t="shared" si="2"/>
        <v>-29649.875</v>
      </c>
      <c r="X29" s="1031">
        <f t="shared" si="2"/>
        <v>37649.611301369863</v>
      </c>
      <c r="Y29" s="1029">
        <f t="shared" si="2"/>
        <v>0</v>
      </c>
    </row>
    <row r="30" spans="1:29" ht="15" customHeight="1" x14ac:dyDescent="0.3">
      <c r="C30" s="318" t="s">
        <v>543</v>
      </c>
      <c r="D30" s="560" t="s">
        <v>198</v>
      </c>
      <c r="E30" s="188" t="s">
        <v>196</v>
      </c>
      <c r="F30" s="294" t="s">
        <v>216</v>
      </c>
      <c r="G30" s="1032">
        <f t="shared" ref="G30:Y30" si="3" xml:space="preserve"> + G17 + G18</f>
        <v>0</v>
      </c>
      <c r="H30" s="1033">
        <f t="shared" si="3"/>
        <v>0</v>
      </c>
      <c r="I30" s="1011">
        <f t="shared" si="3"/>
        <v>0</v>
      </c>
      <c r="J30" s="1032">
        <f t="shared" si="3"/>
        <v>0</v>
      </c>
      <c r="K30" s="1033">
        <f t="shared" si="3"/>
        <v>-30000</v>
      </c>
      <c r="L30" s="1011">
        <f t="shared" si="3"/>
        <v>30000</v>
      </c>
      <c r="M30" s="1032">
        <f t="shared" si="3"/>
        <v>0</v>
      </c>
      <c r="N30" s="1033">
        <f t="shared" si="3"/>
        <v>-32400</v>
      </c>
      <c r="O30" s="1011">
        <f t="shared" si="3"/>
        <v>32400</v>
      </c>
      <c r="P30" s="1032">
        <f t="shared" si="3"/>
        <v>0</v>
      </c>
      <c r="Q30" s="1033">
        <f t="shared" si="3"/>
        <v>-35040</v>
      </c>
      <c r="R30" s="1011">
        <f t="shared" si="3"/>
        <v>35040</v>
      </c>
      <c r="S30" s="1032">
        <f t="shared" si="3"/>
        <v>0</v>
      </c>
      <c r="T30" s="1033">
        <f t="shared" si="3"/>
        <v>-37944</v>
      </c>
      <c r="U30" s="1011">
        <f t="shared" si="3"/>
        <v>37944</v>
      </c>
      <c r="V30" s="1032">
        <f t="shared" si="3"/>
        <v>0</v>
      </c>
      <c r="W30" s="1033">
        <f t="shared" si="3"/>
        <v>-41140</v>
      </c>
      <c r="X30" s="1011">
        <f t="shared" si="3"/>
        <v>41140</v>
      </c>
      <c r="Y30" s="1032">
        <f t="shared" si="3"/>
        <v>0</v>
      </c>
    </row>
    <row r="31" spans="1:29" ht="15" customHeight="1" x14ac:dyDescent="0.3">
      <c r="C31" s="318" t="s">
        <v>505</v>
      </c>
      <c r="D31" s="560" t="s">
        <v>14</v>
      </c>
      <c r="E31" s="188" t="s">
        <v>15</v>
      </c>
      <c r="F31" s="294" t="s">
        <v>214</v>
      </c>
      <c r="G31" s="1035">
        <f t="shared" ref="G31:Y31" si="4" xml:space="preserve"> G19</f>
        <v>0</v>
      </c>
      <c r="H31" s="1024">
        <f t="shared" si="4"/>
        <v>0</v>
      </c>
      <c r="I31" s="1034">
        <f t="shared" si="4"/>
        <v>20000</v>
      </c>
      <c r="J31" s="1035">
        <f t="shared" si="4"/>
        <v>20000</v>
      </c>
      <c r="K31" s="1024">
        <f t="shared" si="4"/>
        <v>-4000</v>
      </c>
      <c r="L31" s="1034">
        <f t="shared" si="4"/>
        <v>0</v>
      </c>
      <c r="M31" s="1035">
        <f t="shared" si="4"/>
        <v>16000</v>
      </c>
      <c r="N31" s="1024">
        <f t="shared" si="4"/>
        <v>-4000</v>
      </c>
      <c r="O31" s="1034">
        <f t="shared" si="4"/>
        <v>0</v>
      </c>
      <c r="P31" s="1035">
        <f t="shared" si="4"/>
        <v>12000</v>
      </c>
      <c r="Q31" s="1024">
        <f t="shared" si="4"/>
        <v>-4000</v>
      </c>
      <c r="R31" s="1034">
        <f t="shared" si="4"/>
        <v>0</v>
      </c>
      <c r="S31" s="1035">
        <f t="shared" si="4"/>
        <v>8000</v>
      </c>
      <c r="T31" s="1024">
        <f t="shared" si="4"/>
        <v>-4000</v>
      </c>
      <c r="U31" s="1034">
        <f t="shared" si="4"/>
        <v>0</v>
      </c>
      <c r="V31" s="1035">
        <f t="shared" si="4"/>
        <v>4000</v>
      </c>
      <c r="W31" s="1024">
        <f t="shared" si="4"/>
        <v>-4000</v>
      </c>
      <c r="X31" s="1034">
        <f t="shared" si="4"/>
        <v>0</v>
      </c>
      <c r="Y31" s="1035">
        <f t="shared" si="4"/>
        <v>0</v>
      </c>
    </row>
    <row r="32" spans="1:29" ht="15" customHeight="1" x14ac:dyDescent="0.3">
      <c r="C32" s="318" t="s">
        <v>506</v>
      </c>
      <c r="D32" s="324" t="s">
        <v>16</v>
      </c>
      <c r="E32" s="188" t="s">
        <v>17</v>
      </c>
      <c r="F32" s="294" t="s">
        <v>215</v>
      </c>
      <c r="G32" s="1003">
        <f t="shared" ref="G32:Y32" si="5" xml:space="preserve"> G20</f>
        <v>0</v>
      </c>
      <c r="H32" s="1025">
        <f t="shared" si="5"/>
        <v>0</v>
      </c>
      <c r="I32" s="1013">
        <f t="shared" si="5"/>
        <v>0</v>
      </c>
      <c r="J32" s="1003">
        <f t="shared" si="5"/>
        <v>0</v>
      </c>
      <c r="K32" s="1025">
        <f t="shared" si="5"/>
        <v>-499.875</v>
      </c>
      <c r="L32" s="1013">
        <f t="shared" si="5"/>
        <v>499.875</v>
      </c>
      <c r="M32" s="1003">
        <f t="shared" si="5"/>
        <v>0</v>
      </c>
      <c r="N32" s="1025">
        <f t="shared" si="5"/>
        <v>-898.55150342465743</v>
      </c>
      <c r="O32" s="1013">
        <f t="shared" si="5"/>
        <v>898.55150342465743</v>
      </c>
      <c r="P32" s="1003">
        <f t="shared" si="5"/>
        <v>0</v>
      </c>
      <c r="Q32" s="1025">
        <f t="shared" si="5"/>
        <v>-1331.2465498150684</v>
      </c>
      <c r="R32" s="1013">
        <f t="shared" si="5"/>
        <v>1331.2465498150684</v>
      </c>
      <c r="S32" s="1003">
        <f t="shared" si="5"/>
        <v>0</v>
      </c>
      <c r="T32" s="1025">
        <f t="shared" si="5"/>
        <v>-1809.3708593891918</v>
      </c>
      <c r="U32" s="1013">
        <f t="shared" si="5"/>
        <v>1809.3708593891918</v>
      </c>
      <c r="V32" s="1003">
        <f t="shared" si="5"/>
        <v>0</v>
      </c>
      <c r="W32" s="1025">
        <f t="shared" si="5"/>
        <v>-2337.586182413791</v>
      </c>
      <c r="X32" s="1013">
        <f t="shared" si="5"/>
        <v>2337.586182413791</v>
      </c>
      <c r="Y32" s="1003">
        <f t="shared" si="5"/>
        <v>0</v>
      </c>
    </row>
    <row r="33" spans="1:25" ht="15" customHeight="1" thickBot="1" x14ac:dyDescent="0.35">
      <c r="C33" s="320" t="s">
        <v>508</v>
      </c>
      <c r="D33" s="325" t="s">
        <v>206</v>
      </c>
      <c r="E33" s="250" t="s">
        <v>207</v>
      </c>
      <c r="F33" s="375" t="s">
        <v>210</v>
      </c>
      <c r="G33" s="1004">
        <f t="shared" ref="G33:Y33" si="6" xml:space="preserve"> G21</f>
        <v>0</v>
      </c>
      <c r="H33" s="1026">
        <f t="shared" si="6"/>
        <v>0</v>
      </c>
      <c r="I33" s="1014">
        <f t="shared" si="6"/>
        <v>-3750</v>
      </c>
      <c r="J33" s="1004">
        <f t="shared" si="6"/>
        <v>-3750</v>
      </c>
      <c r="K33" s="1026">
        <f t="shared" si="6"/>
        <v>-93.75</v>
      </c>
      <c r="L33" s="1014">
        <f t="shared" si="6"/>
        <v>3330.6171232876673</v>
      </c>
      <c r="M33" s="1004">
        <f t="shared" si="6"/>
        <v>-513.13287671233275</v>
      </c>
      <c r="N33" s="1026">
        <f t="shared" si="6"/>
        <v>-12.828321917808319</v>
      </c>
      <c r="O33" s="1014">
        <f t="shared" si="6"/>
        <v>2985.5011739726046</v>
      </c>
      <c r="P33" s="1004">
        <f t="shared" si="6"/>
        <v>2459.5399753424635</v>
      </c>
      <c r="Q33" s="1026">
        <f t="shared" si="6"/>
        <v>61.488499383561589</v>
      </c>
      <c r="R33" s="1014">
        <f t="shared" si="6"/>
        <v>3688.4194438328814</v>
      </c>
      <c r="S33" s="1004">
        <f t="shared" si="6"/>
        <v>6209.4479185589062</v>
      </c>
      <c r="T33" s="1026">
        <f t="shared" si="6"/>
        <v>155.23619796397267</v>
      </c>
      <c r="U33" s="1014">
        <f t="shared" si="6"/>
        <v>4453.4735386492721</v>
      </c>
      <c r="V33" s="1004">
        <f t="shared" si="6"/>
        <v>10818.157655172152</v>
      </c>
      <c r="W33" s="1026">
        <f t="shared" si="6"/>
        <v>270.45394137930379</v>
      </c>
      <c r="X33" s="1014">
        <f t="shared" si="6"/>
        <v>-11088.611596551451</v>
      </c>
      <c r="Y33" s="1004">
        <f t="shared" si="6"/>
        <v>0</v>
      </c>
    </row>
    <row r="34" spans="1:25" ht="15" customHeight="1" thickTop="1" x14ac:dyDescent="0.3">
      <c r="C34" s="321" t="s">
        <v>544</v>
      </c>
      <c r="D34" s="326" t="s">
        <v>205</v>
      </c>
      <c r="E34" s="328" t="s">
        <v>208</v>
      </c>
      <c r="F34" s="376" t="s">
        <v>211</v>
      </c>
      <c r="G34" s="1005">
        <f t="shared" ref="G34:Y34" si="7" xml:space="preserve"> G22</f>
        <v>0</v>
      </c>
      <c r="H34" s="1027">
        <f t="shared" si="7"/>
        <v>0</v>
      </c>
      <c r="I34" s="1015">
        <f t="shared" si="7"/>
        <v>12000</v>
      </c>
      <c r="J34" s="1005">
        <f t="shared" si="7"/>
        <v>12000</v>
      </c>
      <c r="K34" s="1027">
        <f t="shared" si="7"/>
        <v>240</v>
      </c>
      <c r="L34" s="1015">
        <f t="shared" si="7"/>
        <v>-2640</v>
      </c>
      <c r="M34" s="1005">
        <f t="shared" si="7"/>
        <v>9600</v>
      </c>
      <c r="N34" s="1027">
        <f t="shared" si="7"/>
        <v>192</v>
      </c>
      <c r="O34" s="1015">
        <f t="shared" si="7"/>
        <v>-2592</v>
      </c>
      <c r="P34" s="1005">
        <f t="shared" si="7"/>
        <v>7200</v>
      </c>
      <c r="Q34" s="1027">
        <f t="shared" si="7"/>
        <v>144</v>
      </c>
      <c r="R34" s="1015">
        <f t="shared" si="7"/>
        <v>-2544</v>
      </c>
      <c r="S34" s="1005">
        <f t="shared" si="7"/>
        <v>4800</v>
      </c>
      <c r="T34" s="1027">
        <f t="shared" si="7"/>
        <v>96</v>
      </c>
      <c r="U34" s="1015">
        <f t="shared" si="7"/>
        <v>-2496</v>
      </c>
      <c r="V34" s="1005">
        <f t="shared" si="7"/>
        <v>2400</v>
      </c>
      <c r="W34" s="1027">
        <f t="shared" si="7"/>
        <v>48</v>
      </c>
      <c r="X34" s="1015">
        <f t="shared" si="7"/>
        <v>-2448</v>
      </c>
      <c r="Y34" s="1005">
        <f t="shared" si="7"/>
        <v>0</v>
      </c>
    </row>
    <row r="35" spans="1:25" ht="15" customHeight="1" thickBot="1" x14ac:dyDescent="0.35">
      <c r="C35" s="318" t="s">
        <v>545</v>
      </c>
      <c r="D35" s="327" t="s">
        <v>204</v>
      </c>
      <c r="E35" s="329" t="s">
        <v>209</v>
      </c>
      <c r="F35" s="377" t="s">
        <v>212</v>
      </c>
      <c r="G35" s="1006">
        <f t="shared" ref="G35:Y35" si="8" xml:space="preserve"> G23</f>
        <v>0</v>
      </c>
      <c r="H35" s="1028">
        <f t="shared" si="8"/>
        <v>0</v>
      </c>
      <c r="I35" s="1016">
        <f t="shared" si="8"/>
        <v>8000</v>
      </c>
      <c r="J35" s="1006">
        <f t="shared" si="8"/>
        <v>8000</v>
      </c>
      <c r="K35" s="1028">
        <f t="shared" si="8"/>
        <v>1166.375</v>
      </c>
      <c r="L35" s="1016">
        <f t="shared" si="8"/>
        <v>-233.27500000000001</v>
      </c>
      <c r="M35" s="1006">
        <f t="shared" si="8"/>
        <v>8933.1</v>
      </c>
      <c r="N35" s="1028">
        <f t="shared" si="8"/>
        <v>2096.6201746575343</v>
      </c>
      <c r="O35" s="1016">
        <f t="shared" si="8"/>
        <v>-419.3240349315069</v>
      </c>
      <c r="P35" s="1006">
        <f t="shared" si="8"/>
        <v>10610.396139726026</v>
      </c>
      <c r="Q35" s="1028">
        <f t="shared" si="8"/>
        <v>3106.2419495684931</v>
      </c>
      <c r="R35" s="1016">
        <f t="shared" si="8"/>
        <v>-621.2483899136987</v>
      </c>
      <c r="S35" s="1006">
        <f t="shared" si="8"/>
        <v>13095.389699380821</v>
      </c>
      <c r="T35" s="1028">
        <f t="shared" si="8"/>
        <v>4221.8653385747812</v>
      </c>
      <c r="U35" s="1016">
        <f t="shared" si="8"/>
        <v>-844.37306771495628</v>
      </c>
      <c r="V35" s="1006">
        <f t="shared" si="8"/>
        <v>16472.881970240644</v>
      </c>
      <c r="W35" s="1028">
        <f t="shared" si="8"/>
        <v>5454.3677589655126</v>
      </c>
      <c r="X35" s="1016">
        <f t="shared" si="8"/>
        <v>-21927.249729206156</v>
      </c>
      <c r="Y35" s="1006">
        <f t="shared" si="8"/>
        <v>0</v>
      </c>
    </row>
    <row r="36" spans="1:25" ht="13.8" thickBot="1" x14ac:dyDescent="0.35"/>
    <row r="37" spans="1:25" s="98" customFormat="1" ht="16.8" thickBot="1" x14ac:dyDescent="0.35">
      <c r="A37" s="96"/>
      <c r="B37" s="97" t="s">
        <v>165</v>
      </c>
      <c r="C37" s="96"/>
      <c r="D37" s="99"/>
      <c r="E37" s="97"/>
      <c r="F37" s="97"/>
    </row>
    <row r="38" spans="1:25" s="8" customFormat="1" ht="16.8" thickBot="1" x14ac:dyDescent="0.35">
      <c r="A38" s="7"/>
      <c r="B38" s="7"/>
      <c r="C38" s="379"/>
      <c r="D38" s="101" t="s">
        <v>1</v>
      </c>
      <c r="E38" s="330" t="s">
        <v>2</v>
      </c>
      <c r="F38" s="192" t="s">
        <v>49</v>
      </c>
      <c r="G38" s="996" t="s">
        <v>332</v>
      </c>
      <c r="H38" s="1017" t="s">
        <v>72</v>
      </c>
      <c r="I38" s="1036" t="s">
        <v>48</v>
      </c>
      <c r="J38" s="996" t="s">
        <v>4</v>
      </c>
      <c r="K38" s="1017" t="s">
        <v>73</v>
      </c>
      <c r="L38" s="1036" t="s">
        <v>74</v>
      </c>
      <c r="M38" s="996" t="s">
        <v>75</v>
      </c>
      <c r="N38" s="1017" t="s">
        <v>76</v>
      </c>
      <c r="O38" s="1036" t="s">
        <v>77</v>
      </c>
      <c r="P38" s="996" t="s">
        <v>78</v>
      </c>
      <c r="Q38" s="1017" t="s">
        <v>79</v>
      </c>
      <c r="R38" s="1036" t="s">
        <v>80</v>
      </c>
      <c r="S38" s="996" t="s">
        <v>81</v>
      </c>
      <c r="T38" s="1017" t="s">
        <v>82</v>
      </c>
      <c r="U38" s="1036" t="s">
        <v>83</v>
      </c>
      <c r="V38" s="996" t="s">
        <v>84</v>
      </c>
      <c r="W38" s="1017" t="s">
        <v>85</v>
      </c>
      <c r="X38" s="1036" t="s">
        <v>86</v>
      </c>
      <c r="Y38" s="996" t="s">
        <v>87</v>
      </c>
    </row>
    <row r="39" spans="1:25" ht="15" customHeight="1" x14ac:dyDescent="0.3">
      <c r="D39" s="559" t="s">
        <v>10</v>
      </c>
      <c r="E39" s="249" t="s">
        <v>11</v>
      </c>
      <c r="F39" s="246" t="s">
        <v>213</v>
      </c>
      <c r="G39" s="997">
        <f t="shared" ref="G39:Y39" si="9" xml:space="preserve"> G13</f>
        <v>0</v>
      </c>
      <c r="H39" s="1018">
        <f t="shared" si="9"/>
        <v>0</v>
      </c>
      <c r="I39" s="1007">
        <f t="shared" si="9"/>
        <v>0</v>
      </c>
      <c r="J39" s="997">
        <f t="shared" si="9"/>
        <v>0</v>
      </c>
      <c r="K39" s="1018">
        <f t="shared" si="9"/>
        <v>60000</v>
      </c>
      <c r="L39" s="1007">
        <f t="shared" si="9"/>
        <v>-55068.493150684932</v>
      </c>
      <c r="M39" s="997">
        <f t="shared" si="9"/>
        <v>4931.5068493150684</v>
      </c>
      <c r="N39" s="1018">
        <f t="shared" si="9"/>
        <v>66000</v>
      </c>
      <c r="O39" s="1007">
        <f t="shared" si="9"/>
        <v>-65506.849315068495</v>
      </c>
      <c r="P39" s="997">
        <f t="shared" si="9"/>
        <v>5424.6575342465758</v>
      </c>
      <c r="Q39" s="1018">
        <f t="shared" si="9"/>
        <v>72600</v>
      </c>
      <c r="R39" s="1007">
        <f t="shared" si="9"/>
        <v>-72057.534246575349</v>
      </c>
      <c r="S39" s="997">
        <f t="shared" si="9"/>
        <v>5967.1232876712329</v>
      </c>
      <c r="T39" s="1018">
        <f t="shared" si="9"/>
        <v>79860</v>
      </c>
      <c r="U39" s="1007">
        <f t="shared" si="9"/>
        <v>-79263.287671232873</v>
      </c>
      <c r="V39" s="997">
        <f t="shared" si="9"/>
        <v>6563.8356164383567</v>
      </c>
      <c r="W39" s="1018">
        <f t="shared" si="9"/>
        <v>87850</v>
      </c>
      <c r="X39" s="1007">
        <f t="shared" si="9"/>
        <v>-94413.835616438359</v>
      </c>
      <c r="Y39" s="997">
        <f t="shared" si="9"/>
        <v>0</v>
      </c>
    </row>
    <row r="40" spans="1:25" ht="15" customHeight="1" x14ac:dyDescent="0.3">
      <c r="D40" s="560" t="s">
        <v>164</v>
      </c>
      <c r="E40" s="188" t="s">
        <v>176</v>
      </c>
      <c r="F40" s="294" t="s">
        <v>218</v>
      </c>
      <c r="G40" s="1040">
        <f t="shared" ref="G40:Y40" si="10" xml:space="preserve"> + G14 + G15 + G17</f>
        <v>0</v>
      </c>
      <c r="H40" s="1038">
        <f t="shared" si="10"/>
        <v>0</v>
      </c>
      <c r="I40" s="1039">
        <f t="shared" si="10"/>
        <v>3750</v>
      </c>
      <c r="J40" s="1040">
        <f t="shared" si="10"/>
        <v>3750</v>
      </c>
      <c r="K40" s="1038">
        <f t="shared" si="10"/>
        <v>-39000</v>
      </c>
      <c r="L40" s="1039">
        <f t="shared" si="10"/>
        <v>35583.904109589042</v>
      </c>
      <c r="M40" s="1040">
        <f t="shared" si="10"/>
        <v>333.90410958904113</v>
      </c>
      <c r="N40" s="1038">
        <f t="shared" si="10"/>
        <v>-42900</v>
      </c>
      <c r="O40" s="1039">
        <f t="shared" si="10"/>
        <v>42933.390410958906</v>
      </c>
      <c r="P40" s="1040">
        <f t="shared" si="10"/>
        <v>367.29452054794547</v>
      </c>
      <c r="Q40" s="1038">
        <f t="shared" si="10"/>
        <v>-47190</v>
      </c>
      <c r="R40" s="1039">
        <f t="shared" si="10"/>
        <v>47226.729452054795</v>
      </c>
      <c r="S40" s="1040">
        <f t="shared" si="10"/>
        <v>404.02397260273938</v>
      </c>
      <c r="T40" s="1038">
        <f t="shared" si="10"/>
        <v>-51909</v>
      </c>
      <c r="U40" s="1039">
        <f t="shared" si="10"/>
        <v>51949.590753424658</v>
      </c>
      <c r="V40" s="1040">
        <f t="shared" si="10"/>
        <v>444.61472602739741</v>
      </c>
      <c r="W40" s="1038">
        <f t="shared" si="10"/>
        <v>-57102.5</v>
      </c>
      <c r="X40" s="1039">
        <f t="shared" si="10"/>
        <v>56657.885273972599</v>
      </c>
      <c r="Y40" s="1040">
        <f t="shared" si="10"/>
        <v>0</v>
      </c>
    </row>
    <row r="41" spans="1:25" ht="15" customHeight="1" x14ac:dyDescent="0.3">
      <c r="D41" s="560" t="s">
        <v>163</v>
      </c>
      <c r="E41" s="188" t="s">
        <v>177</v>
      </c>
      <c r="F41" s="294" t="s">
        <v>219</v>
      </c>
      <c r="G41" s="1041">
        <f t="shared" ref="G41:Y41" si="11" xml:space="preserve"> + G16 + G18</f>
        <v>0</v>
      </c>
      <c r="H41" s="1042">
        <f t="shared" si="11"/>
        <v>0</v>
      </c>
      <c r="I41" s="1043">
        <f t="shared" si="11"/>
        <v>0</v>
      </c>
      <c r="J41" s="1041">
        <f t="shared" si="11"/>
        <v>0</v>
      </c>
      <c r="K41" s="1042">
        <f t="shared" si="11"/>
        <v>-15000</v>
      </c>
      <c r="L41" s="1043">
        <f t="shared" si="11"/>
        <v>12780.821917808218</v>
      </c>
      <c r="M41" s="1041">
        <f t="shared" si="11"/>
        <v>-2219.178082191781</v>
      </c>
      <c r="N41" s="1042">
        <f t="shared" si="11"/>
        <v>-15900</v>
      </c>
      <c r="O41" s="1043">
        <f t="shared" si="11"/>
        <v>15678.082191780823</v>
      </c>
      <c r="P41" s="1041">
        <f t="shared" si="11"/>
        <v>-2441.0958904109589</v>
      </c>
      <c r="Q41" s="1042">
        <f t="shared" si="11"/>
        <v>-16890</v>
      </c>
      <c r="R41" s="1043">
        <f t="shared" si="11"/>
        <v>16645.890410958906</v>
      </c>
      <c r="S41" s="1041">
        <f t="shared" si="11"/>
        <v>-2685.205479452055</v>
      </c>
      <c r="T41" s="1042">
        <f t="shared" si="11"/>
        <v>-17979</v>
      </c>
      <c r="U41" s="1043">
        <f t="shared" si="11"/>
        <v>17710.479452054795</v>
      </c>
      <c r="V41" s="1041">
        <f t="shared" si="11"/>
        <v>-2953.7260273972602</v>
      </c>
      <c r="W41" s="1042">
        <f t="shared" si="11"/>
        <v>-19178</v>
      </c>
      <c r="X41" s="1043">
        <f t="shared" si="11"/>
        <v>22131.726027397261</v>
      </c>
      <c r="Y41" s="1041">
        <f t="shared" si="11"/>
        <v>0</v>
      </c>
    </row>
    <row r="42" spans="1:25" ht="15" customHeight="1" x14ac:dyDescent="0.3">
      <c r="D42" s="560" t="s">
        <v>14</v>
      </c>
      <c r="E42" s="188" t="s">
        <v>15</v>
      </c>
      <c r="F42" s="294" t="s">
        <v>214</v>
      </c>
      <c r="G42" s="1035">
        <f t="shared" ref="G42:Y42" si="12" xml:space="preserve"> G19</f>
        <v>0</v>
      </c>
      <c r="H42" s="1024">
        <f t="shared" si="12"/>
        <v>0</v>
      </c>
      <c r="I42" s="1034">
        <f t="shared" si="12"/>
        <v>20000</v>
      </c>
      <c r="J42" s="1035">
        <f t="shared" si="12"/>
        <v>20000</v>
      </c>
      <c r="K42" s="1024">
        <f t="shared" si="12"/>
        <v>-4000</v>
      </c>
      <c r="L42" s="1034">
        <f t="shared" si="12"/>
        <v>0</v>
      </c>
      <c r="M42" s="1035">
        <f t="shared" si="12"/>
        <v>16000</v>
      </c>
      <c r="N42" s="1024">
        <f t="shared" si="12"/>
        <v>-4000</v>
      </c>
      <c r="O42" s="1034">
        <f t="shared" si="12"/>
        <v>0</v>
      </c>
      <c r="P42" s="1035">
        <f t="shared" si="12"/>
        <v>12000</v>
      </c>
      <c r="Q42" s="1024">
        <f t="shared" si="12"/>
        <v>-4000</v>
      </c>
      <c r="R42" s="1034">
        <f t="shared" si="12"/>
        <v>0</v>
      </c>
      <c r="S42" s="1035">
        <f t="shared" si="12"/>
        <v>8000</v>
      </c>
      <c r="T42" s="1024">
        <f t="shared" si="12"/>
        <v>-4000</v>
      </c>
      <c r="U42" s="1034">
        <f t="shared" si="12"/>
        <v>0</v>
      </c>
      <c r="V42" s="1035">
        <f t="shared" si="12"/>
        <v>4000</v>
      </c>
      <c r="W42" s="1024">
        <f t="shared" si="12"/>
        <v>-4000</v>
      </c>
      <c r="X42" s="1034">
        <f t="shared" si="12"/>
        <v>0</v>
      </c>
      <c r="Y42" s="1035">
        <f t="shared" si="12"/>
        <v>0</v>
      </c>
    </row>
    <row r="43" spans="1:25" ht="15" customHeight="1" x14ac:dyDescent="0.3">
      <c r="D43" s="324" t="s">
        <v>16</v>
      </c>
      <c r="E43" s="188" t="s">
        <v>17</v>
      </c>
      <c r="F43" s="294" t="s">
        <v>215</v>
      </c>
      <c r="G43" s="1003">
        <f t="shared" ref="G43:Y43" si="13" xml:space="preserve"> G20</f>
        <v>0</v>
      </c>
      <c r="H43" s="1025">
        <f t="shared" si="13"/>
        <v>0</v>
      </c>
      <c r="I43" s="1013">
        <f t="shared" si="13"/>
        <v>0</v>
      </c>
      <c r="J43" s="1003">
        <f t="shared" si="13"/>
        <v>0</v>
      </c>
      <c r="K43" s="1025">
        <f t="shared" si="13"/>
        <v>-499.875</v>
      </c>
      <c r="L43" s="1013">
        <f t="shared" si="13"/>
        <v>499.875</v>
      </c>
      <c r="M43" s="1003">
        <f t="shared" si="13"/>
        <v>0</v>
      </c>
      <c r="N43" s="1025">
        <f t="shared" si="13"/>
        <v>-898.55150342465743</v>
      </c>
      <c r="O43" s="1013">
        <f t="shared" si="13"/>
        <v>898.55150342465743</v>
      </c>
      <c r="P43" s="1003">
        <f t="shared" si="13"/>
        <v>0</v>
      </c>
      <c r="Q43" s="1025">
        <f t="shared" si="13"/>
        <v>-1331.2465498150684</v>
      </c>
      <c r="R43" s="1013">
        <f t="shared" si="13"/>
        <v>1331.2465498150684</v>
      </c>
      <c r="S43" s="1003">
        <f t="shared" si="13"/>
        <v>0</v>
      </c>
      <c r="T43" s="1025">
        <f t="shared" si="13"/>
        <v>-1809.3708593891918</v>
      </c>
      <c r="U43" s="1013">
        <f t="shared" si="13"/>
        <v>1809.3708593891918</v>
      </c>
      <c r="V43" s="1003">
        <f t="shared" si="13"/>
        <v>0</v>
      </c>
      <c r="W43" s="1025">
        <f t="shared" si="13"/>
        <v>-2337.586182413791</v>
      </c>
      <c r="X43" s="1013">
        <f t="shared" si="13"/>
        <v>2337.586182413791</v>
      </c>
      <c r="Y43" s="1003">
        <f t="shared" si="13"/>
        <v>0</v>
      </c>
    </row>
    <row r="44" spans="1:25" ht="15" customHeight="1" thickBot="1" x14ac:dyDescent="0.35">
      <c r="D44" s="325" t="s">
        <v>206</v>
      </c>
      <c r="E44" s="250" t="s">
        <v>207</v>
      </c>
      <c r="F44" s="375" t="s">
        <v>210</v>
      </c>
      <c r="G44" s="1004">
        <f t="shared" ref="G44:Y44" si="14" xml:space="preserve"> G21</f>
        <v>0</v>
      </c>
      <c r="H44" s="1026">
        <f t="shared" si="14"/>
        <v>0</v>
      </c>
      <c r="I44" s="1014">
        <f t="shared" si="14"/>
        <v>-3750</v>
      </c>
      <c r="J44" s="1004">
        <f xml:space="preserve"> J21</f>
        <v>-3750</v>
      </c>
      <c r="K44" s="1026">
        <f t="shared" si="14"/>
        <v>-93.75</v>
      </c>
      <c r="L44" s="1014">
        <f t="shared" si="14"/>
        <v>3330.6171232876673</v>
      </c>
      <c r="M44" s="1004">
        <f t="shared" si="14"/>
        <v>-513.13287671233275</v>
      </c>
      <c r="N44" s="1026">
        <f t="shared" si="14"/>
        <v>-12.828321917808319</v>
      </c>
      <c r="O44" s="1014">
        <f t="shared" si="14"/>
        <v>2985.5011739726046</v>
      </c>
      <c r="P44" s="1004">
        <f t="shared" si="14"/>
        <v>2459.5399753424635</v>
      </c>
      <c r="Q44" s="1026">
        <f t="shared" si="14"/>
        <v>61.488499383561589</v>
      </c>
      <c r="R44" s="1014">
        <f t="shared" si="14"/>
        <v>3688.4194438328814</v>
      </c>
      <c r="S44" s="1004">
        <f t="shared" si="14"/>
        <v>6209.4479185589062</v>
      </c>
      <c r="T44" s="1026">
        <f t="shared" si="14"/>
        <v>155.23619796397267</v>
      </c>
      <c r="U44" s="1014">
        <f t="shared" si="14"/>
        <v>4453.4735386492721</v>
      </c>
      <c r="V44" s="1004">
        <f t="shared" si="14"/>
        <v>10818.157655172152</v>
      </c>
      <c r="W44" s="1026">
        <f t="shared" si="14"/>
        <v>270.45394137930379</v>
      </c>
      <c r="X44" s="1014">
        <f t="shared" si="14"/>
        <v>-11088.611596551451</v>
      </c>
      <c r="Y44" s="1004">
        <f t="shared" si="14"/>
        <v>0</v>
      </c>
    </row>
    <row r="45" spans="1:25" ht="15" customHeight="1" thickTop="1" x14ac:dyDescent="0.3">
      <c r="D45" s="326" t="s">
        <v>205</v>
      </c>
      <c r="E45" s="328" t="s">
        <v>208</v>
      </c>
      <c r="F45" s="376" t="s">
        <v>211</v>
      </c>
      <c r="G45" s="1005">
        <f t="shared" ref="G45:Y45" si="15" xml:space="preserve"> G22</f>
        <v>0</v>
      </c>
      <c r="H45" s="1027">
        <f t="shared" si="15"/>
        <v>0</v>
      </c>
      <c r="I45" s="1015">
        <f t="shared" si="15"/>
        <v>12000</v>
      </c>
      <c r="J45" s="1005">
        <f t="shared" si="15"/>
        <v>12000</v>
      </c>
      <c r="K45" s="1027">
        <f t="shared" si="15"/>
        <v>240</v>
      </c>
      <c r="L45" s="1015">
        <f t="shared" si="15"/>
        <v>-2640</v>
      </c>
      <c r="M45" s="1005">
        <f t="shared" si="15"/>
        <v>9600</v>
      </c>
      <c r="N45" s="1027">
        <f t="shared" si="15"/>
        <v>192</v>
      </c>
      <c r="O45" s="1015">
        <f t="shared" si="15"/>
        <v>-2592</v>
      </c>
      <c r="P45" s="1005">
        <f t="shared" si="15"/>
        <v>7200</v>
      </c>
      <c r="Q45" s="1027">
        <f t="shared" si="15"/>
        <v>144</v>
      </c>
      <c r="R45" s="1015">
        <f t="shared" si="15"/>
        <v>-2544</v>
      </c>
      <c r="S45" s="1005">
        <f t="shared" si="15"/>
        <v>4800</v>
      </c>
      <c r="T45" s="1027">
        <f t="shared" si="15"/>
        <v>96</v>
      </c>
      <c r="U45" s="1015">
        <f t="shared" si="15"/>
        <v>-2496</v>
      </c>
      <c r="V45" s="1005">
        <f t="shared" si="15"/>
        <v>2400</v>
      </c>
      <c r="W45" s="1027">
        <f t="shared" si="15"/>
        <v>48</v>
      </c>
      <c r="X45" s="1015">
        <f t="shared" si="15"/>
        <v>-2448</v>
      </c>
      <c r="Y45" s="1005">
        <f t="shared" si="15"/>
        <v>0</v>
      </c>
    </row>
    <row r="46" spans="1:25" ht="15" customHeight="1" thickBot="1" x14ac:dyDescent="0.35">
      <c r="D46" s="327" t="s">
        <v>204</v>
      </c>
      <c r="E46" s="329" t="s">
        <v>209</v>
      </c>
      <c r="F46" s="377" t="s">
        <v>212</v>
      </c>
      <c r="G46" s="1006">
        <f t="shared" ref="G46:Y46" si="16" xml:space="preserve"> G23</f>
        <v>0</v>
      </c>
      <c r="H46" s="1028">
        <f t="shared" si="16"/>
        <v>0</v>
      </c>
      <c r="I46" s="1016">
        <f t="shared" si="16"/>
        <v>8000</v>
      </c>
      <c r="J46" s="1006">
        <f t="shared" si="16"/>
        <v>8000</v>
      </c>
      <c r="K46" s="1028">
        <f t="shared" si="16"/>
        <v>1166.375</v>
      </c>
      <c r="L46" s="1016">
        <f t="shared" si="16"/>
        <v>-233.27500000000001</v>
      </c>
      <c r="M46" s="1006">
        <f t="shared" si="16"/>
        <v>8933.1</v>
      </c>
      <c r="N46" s="1028">
        <f t="shared" si="16"/>
        <v>2096.6201746575343</v>
      </c>
      <c r="O46" s="1016">
        <f t="shared" si="16"/>
        <v>-419.3240349315069</v>
      </c>
      <c r="P46" s="1006">
        <f t="shared" si="16"/>
        <v>10610.396139726026</v>
      </c>
      <c r="Q46" s="1028">
        <f t="shared" si="16"/>
        <v>3106.2419495684931</v>
      </c>
      <c r="R46" s="1016">
        <f t="shared" si="16"/>
        <v>-621.2483899136987</v>
      </c>
      <c r="S46" s="1006">
        <f t="shared" si="16"/>
        <v>13095.389699380821</v>
      </c>
      <c r="T46" s="1028">
        <f t="shared" si="16"/>
        <v>4221.8653385747812</v>
      </c>
      <c r="U46" s="1016">
        <f t="shared" si="16"/>
        <v>-844.37306771495628</v>
      </c>
      <c r="V46" s="1006">
        <f t="shared" si="16"/>
        <v>16472.881970240644</v>
      </c>
      <c r="W46" s="1028">
        <f t="shared" si="16"/>
        <v>5454.3677589655126</v>
      </c>
      <c r="X46" s="1016">
        <f t="shared" si="16"/>
        <v>-21927.249729206156</v>
      </c>
      <c r="Y46" s="1006">
        <f t="shared" si="16"/>
        <v>0</v>
      </c>
    </row>
    <row r="47" spans="1:25" ht="13.8" thickBot="1" x14ac:dyDescent="0.35"/>
    <row r="48" spans="1:25" s="98" customFormat="1" ht="16.8" thickBot="1" x14ac:dyDescent="0.35">
      <c r="A48" s="96"/>
      <c r="B48" s="97" t="s">
        <v>160</v>
      </c>
      <c r="C48" s="96"/>
      <c r="D48" s="99"/>
      <c r="E48" s="97"/>
      <c r="F48" s="97"/>
    </row>
    <row r="49" spans="1:25" s="8" customFormat="1" ht="16.8" thickBot="1" x14ac:dyDescent="0.35">
      <c r="A49" s="7"/>
      <c r="B49" s="7"/>
      <c r="C49" s="379"/>
      <c r="D49" s="101" t="s">
        <v>1</v>
      </c>
      <c r="E49" s="330" t="s">
        <v>2</v>
      </c>
      <c r="F49" s="192" t="s">
        <v>49</v>
      </c>
      <c r="G49" s="996" t="s">
        <v>332</v>
      </c>
      <c r="H49" s="1017" t="s">
        <v>72</v>
      </c>
      <c r="I49" s="1036" t="s">
        <v>48</v>
      </c>
      <c r="J49" s="996" t="s">
        <v>4</v>
      </c>
      <c r="K49" s="1017" t="s">
        <v>73</v>
      </c>
      <c r="L49" s="1036" t="s">
        <v>74</v>
      </c>
      <c r="M49" s="996" t="s">
        <v>75</v>
      </c>
      <c r="N49" s="1017" t="s">
        <v>76</v>
      </c>
      <c r="O49" s="1036" t="s">
        <v>77</v>
      </c>
      <c r="P49" s="996" t="s">
        <v>78</v>
      </c>
      <c r="Q49" s="1017" t="s">
        <v>79</v>
      </c>
      <c r="R49" s="1036" t="s">
        <v>80</v>
      </c>
      <c r="S49" s="996" t="s">
        <v>81</v>
      </c>
      <c r="T49" s="1017" t="s">
        <v>82</v>
      </c>
      <c r="U49" s="1036" t="s">
        <v>83</v>
      </c>
      <c r="V49" s="996" t="s">
        <v>84</v>
      </c>
      <c r="W49" s="1017" t="s">
        <v>85</v>
      </c>
      <c r="X49" s="1036" t="s">
        <v>86</v>
      </c>
      <c r="Y49" s="996" t="s">
        <v>87</v>
      </c>
    </row>
    <row r="50" spans="1:25" ht="15" customHeight="1" x14ac:dyDescent="0.3">
      <c r="D50" s="559" t="s">
        <v>10</v>
      </c>
      <c r="E50" s="249" t="s">
        <v>11</v>
      </c>
      <c r="F50" s="246" t="s">
        <v>213</v>
      </c>
      <c r="G50" s="997">
        <f xml:space="preserve"> G39</f>
        <v>0</v>
      </c>
      <c r="H50" s="1018">
        <f t="shared" ref="H50:Y50" si="17" xml:space="preserve"> H39</f>
        <v>0</v>
      </c>
      <c r="I50" s="1007">
        <f t="shared" si="17"/>
        <v>0</v>
      </c>
      <c r="J50" s="997">
        <f t="shared" si="17"/>
        <v>0</v>
      </c>
      <c r="K50" s="1018">
        <f t="shared" si="17"/>
        <v>60000</v>
      </c>
      <c r="L50" s="1007">
        <f t="shared" si="17"/>
        <v>-55068.493150684932</v>
      </c>
      <c r="M50" s="997">
        <f t="shared" si="17"/>
        <v>4931.5068493150684</v>
      </c>
      <c r="N50" s="1018">
        <f t="shared" si="17"/>
        <v>66000</v>
      </c>
      <c r="O50" s="1007">
        <f t="shared" si="17"/>
        <v>-65506.849315068495</v>
      </c>
      <c r="P50" s="997">
        <f t="shared" si="17"/>
        <v>5424.6575342465758</v>
      </c>
      <c r="Q50" s="1018">
        <f t="shared" si="17"/>
        <v>72600</v>
      </c>
      <c r="R50" s="1007">
        <f t="shared" si="17"/>
        <v>-72057.534246575349</v>
      </c>
      <c r="S50" s="997">
        <f t="shared" si="17"/>
        <v>5967.1232876712329</v>
      </c>
      <c r="T50" s="1018">
        <f t="shared" si="17"/>
        <v>79860</v>
      </c>
      <c r="U50" s="1007">
        <f t="shared" si="17"/>
        <v>-79263.287671232873</v>
      </c>
      <c r="V50" s="997">
        <f t="shared" si="17"/>
        <v>6563.8356164383567</v>
      </c>
      <c r="W50" s="1018">
        <f t="shared" si="17"/>
        <v>87850</v>
      </c>
      <c r="X50" s="1007">
        <f t="shared" si="17"/>
        <v>-94413.835616438359</v>
      </c>
      <c r="Y50" s="997">
        <f t="shared" si="17"/>
        <v>0</v>
      </c>
    </row>
    <row r="51" spans="1:25" ht="15" customHeight="1" x14ac:dyDescent="0.3">
      <c r="D51" s="560" t="s">
        <v>162</v>
      </c>
      <c r="E51" s="188" t="s">
        <v>161</v>
      </c>
      <c r="F51" s="294" t="s">
        <v>220</v>
      </c>
      <c r="G51" s="1037">
        <f xml:space="preserve"> SUM( G40:G41 )</f>
        <v>0</v>
      </c>
      <c r="H51" s="1044">
        <f t="shared" ref="H51:Y51" si="18" xml:space="preserve"> SUM( H40:H41 )</f>
        <v>0</v>
      </c>
      <c r="I51" s="1039">
        <f t="shared" si="18"/>
        <v>3750</v>
      </c>
      <c r="J51" s="1037">
        <f t="shared" si="18"/>
        <v>3750</v>
      </c>
      <c r="K51" s="1044">
        <f t="shared" si="18"/>
        <v>-54000</v>
      </c>
      <c r="L51" s="1039">
        <f t="shared" si="18"/>
        <v>48364.726027397264</v>
      </c>
      <c r="M51" s="1037">
        <f t="shared" si="18"/>
        <v>-1885.2739726027398</v>
      </c>
      <c r="N51" s="1044">
        <f t="shared" si="18"/>
        <v>-58800</v>
      </c>
      <c r="O51" s="1039">
        <f t="shared" si="18"/>
        <v>58611.472602739726</v>
      </c>
      <c r="P51" s="1037">
        <f t="shared" si="18"/>
        <v>-2073.8013698630134</v>
      </c>
      <c r="Q51" s="1044">
        <f t="shared" si="18"/>
        <v>-64080</v>
      </c>
      <c r="R51" s="1039">
        <f t="shared" si="18"/>
        <v>63872.619863013701</v>
      </c>
      <c r="S51" s="1037">
        <f t="shared" si="18"/>
        <v>-2281.1815068493156</v>
      </c>
      <c r="T51" s="1044">
        <f t="shared" si="18"/>
        <v>-69888</v>
      </c>
      <c r="U51" s="1039">
        <f t="shared" si="18"/>
        <v>69660.070205479453</v>
      </c>
      <c r="V51" s="1037">
        <f t="shared" si="18"/>
        <v>-2509.1113013698628</v>
      </c>
      <c r="W51" s="1044">
        <f t="shared" si="18"/>
        <v>-76280.5</v>
      </c>
      <c r="X51" s="1039">
        <f t="shared" si="18"/>
        <v>78789.611301369863</v>
      </c>
      <c r="Y51" s="1037">
        <f t="shared" si="18"/>
        <v>0</v>
      </c>
    </row>
    <row r="52" spans="1:25" ht="15" customHeight="1" x14ac:dyDescent="0.3">
      <c r="D52" s="560" t="s">
        <v>14</v>
      </c>
      <c r="E52" s="188" t="s">
        <v>15</v>
      </c>
      <c r="F52" s="294" t="s">
        <v>214</v>
      </c>
      <c r="G52" s="1035">
        <f xml:space="preserve"> G42</f>
        <v>0</v>
      </c>
      <c r="H52" s="1024">
        <f t="shared" ref="H52:Y56" si="19" xml:space="preserve"> H42</f>
        <v>0</v>
      </c>
      <c r="I52" s="1034">
        <f t="shared" si="19"/>
        <v>20000</v>
      </c>
      <c r="J52" s="1035">
        <f t="shared" si="19"/>
        <v>20000</v>
      </c>
      <c r="K52" s="1024">
        <f t="shared" si="19"/>
        <v>-4000</v>
      </c>
      <c r="L52" s="1034">
        <f t="shared" si="19"/>
        <v>0</v>
      </c>
      <c r="M52" s="1035">
        <f t="shared" si="19"/>
        <v>16000</v>
      </c>
      <c r="N52" s="1024">
        <f t="shared" si="19"/>
        <v>-4000</v>
      </c>
      <c r="O52" s="1034">
        <f t="shared" si="19"/>
        <v>0</v>
      </c>
      <c r="P52" s="1035">
        <f t="shared" si="19"/>
        <v>12000</v>
      </c>
      <c r="Q52" s="1024">
        <f t="shared" si="19"/>
        <v>-4000</v>
      </c>
      <c r="R52" s="1034">
        <f t="shared" si="19"/>
        <v>0</v>
      </c>
      <c r="S52" s="1035">
        <f t="shared" si="19"/>
        <v>8000</v>
      </c>
      <c r="T52" s="1024">
        <f t="shared" si="19"/>
        <v>-4000</v>
      </c>
      <c r="U52" s="1034">
        <f t="shared" si="19"/>
        <v>0</v>
      </c>
      <c r="V52" s="1035">
        <f t="shared" si="19"/>
        <v>4000</v>
      </c>
      <c r="W52" s="1024">
        <f t="shared" si="19"/>
        <v>-4000</v>
      </c>
      <c r="X52" s="1034">
        <f t="shared" si="19"/>
        <v>0</v>
      </c>
      <c r="Y52" s="1035">
        <f t="shared" si="19"/>
        <v>0</v>
      </c>
    </row>
    <row r="53" spans="1:25" ht="15" customHeight="1" x14ac:dyDescent="0.3">
      <c r="D53" s="324" t="s">
        <v>16</v>
      </c>
      <c r="E53" s="188" t="s">
        <v>17</v>
      </c>
      <c r="F53" s="294" t="s">
        <v>215</v>
      </c>
      <c r="G53" s="1003">
        <f xml:space="preserve"> G43</f>
        <v>0</v>
      </c>
      <c r="H53" s="1025">
        <f t="shared" si="19"/>
        <v>0</v>
      </c>
      <c r="I53" s="1013">
        <f t="shared" si="19"/>
        <v>0</v>
      </c>
      <c r="J53" s="1003">
        <f t="shared" si="19"/>
        <v>0</v>
      </c>
      <c r="K53" s="1025">
        <f t="shared" si="19"/>
        <v>-499.875</v>
      </c>
      <c r="L53" s="1013">
        <f t="shared" si="19"/>
        <v>499.875</v>
      </c>
      <c r="M53" s="1003">
        <f t="shared" si="19"/>
        <v>0</v>
      </c>
      <c r="N53" s="1025">
        <f t="shared" si="19"/>
        <v>-898.55150342465743</v>
      </c>
      <c r="O53" s="1013">
        <f t="shared" si="19"/>
        <v>898.55150342465743</v>
      </c>
      <c r="P53" s="1003">
        <f t="shared" si="19"/>
        <v>0</v>
      </c>
      <c r="Q53" s="1025">
        <f t="shared" si="19"/>
        <v>-1331.2465498150684</v>
      </c>
      <c r="R53" s="1013">
        <f t="shared" si="19"/>
        <v>1331.2465498150684</v>
      </c>
      <c r="S53" s="1003">
        <f t="shared" si="19"/>
        <v>0</v>
      </c>
      <c r="T53" s="1025">
        <f t="shared" si="19"/>
        <v>-1809.3708593891918</v>
      </c>
      <c r="U53" s="1013">
        <f t="shared" si="19"/>
        <v>1809.3708593891918</v>
      </c>
      <c r="V53" s="1003">
        <f t="shared" si="19"/>
        <v>0</v>
      </c>
      <c r="W53" s="1025">
        <f t="shared" si="19"/>
        <v>-2337.586182413791</v>
      </c>
      <c r="X53" s="1013">
        <f t="shared" si="19"/>
        <v>2337.586182413791</v>
      </c>
      <c r="Y53" s="1003">
        <f t="shared" si="19"/>
        <v>0</v>
      </c>
    </row>
    <row r="54" spans="1:25" ht="15" customHeight="1" thickBot="1" x14ac:dyDescent="0.35">
      <c r="D54" s="325" t="s">
        <v>206</v>
      </c>
      <c r="E54" s="250" t="s">
        <v>207</v>
      </c>
      <c r="F54" s="375" t="s">
        <v>210</v>
      </c>
      <c r="G54" s="1004">
        <f xml:space="preserve"> G44</f>
        <v>0</v>
      </c>
      <c r="H54" s="1026">
        <f t="shared" si="19"/>
        <v>0</v>
      </c>
      <c r="I54" s="1014">
        <f t="shared" si="19"/>
        <v>-3750</v>
      </c>
      <c r="J54" s="1004">
        <f xml:space="preserve"> J44</f>
        <v>-3750</v>
      </c>
      <c r="K54" s="1026">
        <f t="shared" si="19"/>
        <v>-93.75</v>
      </c>
      <c r="L54" s="1014">
        <f t="shared" si="19"/>
        <v>3330.6171232876673</v>
      </c>
      <c r="M54" s="1004">
        <f t="shared" si="19"/>
        <v>-513.13287671233275</v>
      </c>
      <c r="N54" s="1026">
        <f t="shared" si="19"/>
        <v>-12.828321917808319</v>
      </c>
      <c r="O54" s="1014">
        <f t="shared" si="19"/>
        <v>2985.5011739726046</v>
      </c>
      <c r="P54" s="1004">
        <f t="shared" si="19"/>
        <v>2459.5399753424635</v>
      </c>
      <c r="Q54" s="1026">
        <f t="shared" si="19"/>
        <v>61.488499383561589</v>
      </c>
      <c r="R54" s="1014">
        <f t="shared" si="19"/>
        <v>3688.4194438328814</v>
      </c>
      <c r="S54" s="1004">
        <f t="shared" si="19"/>
        <v>6209.4479185589062</v>
      </c>
      <c r="T54" s="1026">
        <f t="shared" si="19"/>
        <v>155.23619796397267</v>
      </c>
      <c r="U54" s="1014">
        <f t="shared" si="19"/>
        <v>4453.4735386492721</v>
      </c>
      <c r="V54" s="1004">
        <f t="shared" si="19"/>
        <v>10818.157655172152</v>
      </c>
      <c r="W54" s="1026">
        <f t="shared" si="19"/>
        <v>270.45394137930379</v>
      </c>
      <c r="X54" s="1014">
        <f t="shared" si="19"/>
        <v>-11088.611596551451</v>
      </c>
      <c r="Y54" s="1004">
        <f t="shared" si="19"/>
        <v>0</v>
      </c>
    </row>
    <row r="55" spans="1:25" ht="15" customHeight="1" thickTop="1" x14ac:dyDescent="0.3">
      <c r="D55" s="326" t="s">
        <v>205</v>
      </c>
      <c r="E55" s="328" t="s">
        <v>208</v>
      </c>
      <c r="F55" s="376" t="s">
        <v>211</v>
      </c>
      <c r="G55" s="1005">
        <f xml:space="preserve"> G45</f>
        <v>0</v>
      </c>
      <c r="H55" s="1027">
        <f t="shared" si="19"/>
        <v>0</v>
      </c>
      <c r="I55" s="1015">
        <f t="shared" si="19"/>
        <v>12000</v>
      </c>
      <c r="J55" s="1005">
        <f t="shared" si="19"/>
        <v>12000</v>
      </c>
      <c r="K55" s="1027">
        <f t="shared" si="19"/>
        <v>240</v>
      </c>
      <c r="L55" s="1015">
        <f t="shared" si="19"/>
        <v>-2640</v>
      </c>
      <c r="M55" s="1005">
        <f t="shared" si="19"/>
        <v>9600</v>
      </c>
      <c r="N55" s="1027">
        <f t="shared" si="19"/>
        <v>192</v>
      </c>
      <c r="O55" s="1015">
        <f t="shared" si="19"/>
        <v>-2592</v>
      </c>
      <c r="P55" s="1005">
        <f t="shared" si="19"/>
        <v>7200</v>
      </c>
      <c r="Q55" s="1027">
        <f t="shared" si="19"/>
        <v>144</v>
      </c>
      <c r="R55" s="1015">
        <f t="shared" si="19"/>
        <v>-2544</v>
      </c>
      <c r="S55" s="1005">
        <f t="shared" si="19"/>
        <v>4800</v>
      </c>
      <c r="T55" s="1027">
        <f t="shared" si="19"/>
        <v>96</v>
      </c>
      <c r="U55" s="1015">
        <f t="shared" si="19"/>
        <v>-2496</v>
      </c>
      <c r="V55" s="1005">
        <f t="shared" si="19"/>
        <v>2400</v>
      </c>
      <c r="W55" s="1027">
        <f t="shared" si="19"/>
        <v>48</v>
      </c>
      <c r="X55" s="1015">
        <f t="shared" si="19"/>
        <v>-2448</v>
      </c>
      <c r="Y55" s="1005">
        <f t="shared" si="19"/>
        <v>0</v>
      </c>
    </row>
    <row r="56" spans="1:25" ht="15" customHeight="1" thickBot="1" x14ac:dyDescent="0.35">
      <c r="D56" s="327" t="s">
        <v>204</v>
      </c>
      <c r="E56" s="329" t="s">
        <v>209</v>
      </c>
      <c r="F56" s="377" t="s">
        <v>212</v>
      </c>
      <c r="G56" s="1006">
        <f xml:space="preserve"> G46</f>
        <v>0</v>
      </c>
      <c r="H56" s="1028">
        <f t="shared" si="19"/>
        <v>0</v>
      </c>
      <c r="I56" s="1016">
        <f t="shared" si="19"/>
        <v>8000</v>
      </c>
      <c r="J56" s="1006">
        <f t="shared" si="19"/>
        <v>8000</v>
      </c>
      <c r="K56" s="1028">
        <f t="shared" si="19"/>
        <v>1166.375</v>
      </c>
      <c r="L56" s="1016">
        <f t="shared" si="19"/>
        <v>-233.27500000000001</v>
      </c>
      <c r="M56" s="1006">
        <f t="shared" si="19"/>
        <v>8933.1</v>
      </c>
      <c r="N56" s="1028">
        <f t="shared" si="19"/>
        <v>2096.6201746575343</v>
      </c>
      <c r="O56" s="1016">
        <f t="shared" si="19"/>
        <v>-419.3240349315069</v>
      </c>
      <c r="P56" s="1006">
        <f t="shared" si="19"/>
        <v>10610.396139726026</v>
      </c>
      <c r="Q56" s="1028">
        <f t="shared" si="19"/>
        <v>3106.2419495684931</v>
      </c>
      <c r="R56" s="1016">
        <f t="shared" si="19"/>
        <v>-621.2483899136987</v>
      </c>
      <c r="S56" s="1006">
        <f t="shared" si="19"/>
        <v>13095.389699380821</v>
      </c>
      <c r="T56" s="1028">
        <f t="shared" si="19"/>
        <v>4221.8653385747812</v>
      </c>
      <c r="U56" s="1016">
        <f t="shared" si="19"/>
        <v>-844.37306771495628</v>
      </c>
      <c r="V56" s="1006">
        <f t="shared" si="19"/>
        <v>16472.881970240644</v>
      </c>
      <c r="W56" s="1028">
        <f t="shared" si="19"/>
        <v>5454.3677589655126</v>
      </c>
      <c r="X56" s="1016">
        <f t="shared" si="19"/>
        <v>-21927.249729206156</v>
      </c>
      <c r="Y56" s="1006">
        <f t="shared" si="19"/>
        <v>0</v>
      </c>
    </row>
    <row r="57" spans="1:25" ht="13.8" thickBot="1" x14ac:dyDescent="0.35"/>
    <row r="58" spans="1:25" s="98" customFormat="1" ht="16.8" thickBot="1" x14ac:dyDescent="0.35">
      <c r="A58" s="96"/>
      <c r="B58" s="97" t="s">
        <v>166</v>
      </c>
      <c r="C58" s="96"/>
      <c r="D58" s="99"/>
      <c r="E58" s="97"/>
      <c r="F58" s="97"/>
    </row>
    <row r="59" spans="1:25" s="8" customFormat="1" ht="16.8" thickBot="1" x14ac:dyDescent="0.35">
      <c r="A59" s="7"/>
      <c r="B59" s="7"/>
      <c r="C59" s="379"/>
      <c r="D59" s="101" t="s">
        <v>1</v>
      </c>
      <c r="E59" s="330" t="s">
        <v>2</v>
      </c>
      <c r="F59" s="192" t="s">
        <v>49</v>
      </c>
      <c r="G59" s="996" t="s">
        <v>332</v>
      </c>
      <c r="H59" s="1017" t="s">
        <v>72</v>
      </c>
      <c r="I59" s="1036" t="s">
        <v>48</v>
      </c>
      <c r="J59" s="996" t="s">
        <v>4</v>
      </c>
      <c r="K59" s="1017" t="s">
        <v>73</v>
      </c>
      <c r="L59" s="1036" t="s">
        <v>74</v>
      </c>
      <c r="M59" s="996" t="s">
        <v>75</v>
      </c>
      <c r="N59" s="1017" t="s">
        <v>76</v>
      </c>
      <c r="O59" s="1036" t="s">
        <v>77</v>
      </c>
      <c r="P59" s="996" t="s">
        <v>78</v>
      </c>
      <c r="Q59" s="1017" t="s">
        <v>79</v>
      </c>
      <c r="R59" s="1036" t="s">
        <v>80</v>
      </c>
      <c r="S59" s="996" t="s">
        <v>81</v>
      </c>
      <c r="T59" s="1017" t="s">
        <v>82</v>
      </c>
      <c r="U59" s="1036" t="s">
        <v>83</v>
      </c>
      <c r="V59" s="996" t="s">
        <v>84</v>
      </c>
      <c r="W59" s="1017" t="s">
        <v>85</v>
      </c>
      <c r="X59" s="1036" t="s">
        <v>86</v>
      </c>
      <c r="Y59" s="996" t="s">
        <v>87</v>
      </c>
    </row>
    <row r="60" spans="1:25" ht="15" customHeight="1" x14ac:dyDescent="0.3">
      <c r="D60" s="559" t="s">
        <v>167</v>
      </c>
      <c r="E60" s="249" t="s">
        <v>611</v>
      </c>
      <c r="F60" s="246" t="s">
        <v>222</v>
      </c>
      <c r="G60" s="1045">
        <f xml:space="preserve"> SUM( G50:G51, G53 )</f>
        <v>0</v>
      </c>
      <c r="H60" s="1046">
        <f t="shared" ref="H60:Y60" si="20" xml:space="preserve"> SUM( H50:H51, H53 )</f>
        <v>0</v>
      </c>
      <c r="I60" s="1047">
        <f t="shared" si="20"/>
        <v>3750</v>
      </c>
      <c r="J60" s="1045">
        <f t="shared" si="20"/>
        <v>3750</v>
      </c>
      <c r="K60" s="1046">
        <f t="shared" si="20"/>
        <v>5500.125</v>
      </c>
      <c r="L60" s="1047">
        <f t="shared" si="20"/>
        <v>-6203.8921232876673</v>
      </c>
      <c r="M60" s="1045">
        <f t="shared" si="20"/>
        <v>3046.2328767123286</v>
      </c>
      <c r="N60" s="1046">
        <f t="shared" si="20"/>
        <v>6301.4484965753427</v>
      </c>
      <c r="O60" s="1047">
        <f t="shared" si="20"/>
        <v>-5996.8252089041116</v>
      </c>
      <c r="P60" s="1045">
        <f t="shared" si="20"/>
        <v>3350.8561643835624</v>
      </c>
      <c r="Q60" s="1046">
        <f t="shared" si="20"/>
        <v>7188.7534501849314</v>
      </c>
      <c r="R60" s="1047">
        <f t="shared" si="20"/>
        <v>-6853.6678337465801</v>
      </c>
      <c r="S60" s="1045">
        <f t="shared" si="20"/>
        <v>3685.9417808219173</v>
      </c>
      <c r="T60" s="1046">
        <f t="shared" si="20"/>
        <v>8162.6291406108085</v>
      </c>
      <c r="U60" s="1047">
        <f t="shared" si="20"/>
        <v>-7793.8466063642281</v>
      </c>
      <c r="V60" s="1045">
        <f t="shared" si="20"/>
        <v>4054.724315068494</v>
      </c>
      <c r="W60" s="1046">
        <f t="shared" si="20"/>
        <v>9231.9138175862099</v>
      </c>
      <c r="X60" s="1047">
        <f t="shared" si="20"/>
        <v>-13286.638132654705</v>
      </c>
      <c r="Y60" s="1045">
        <f t="shared" si="20"/>
        <v>0</v>
      </c>
    </row>
    <row r="61" spans="1:25" ht="15" customHeight="1" x14ac:dyDescent="0.3">
      <c r="D61" s="560" t="s">
        <v>14</v>
      </c>
      <c r="E61" s="188" t="s">
        <v>15</v>
      </c>
      <c r="F61" s="294" t="s">
        <v>214</v>
      </c>
      <c r="G61" s="1035">
        <f xml:space="preserve"> G52</f>
        <v>0</v>
      </c>
      <c r="H61" s="1024">
        <f t="shared" ref="H61:Y61" si="21" xml:space="preserve"> H52</f>
        <v>0</v>
      </c>
      <c r="I61" s="1034">
        <f t="shared" si="21"/>
        <v>20000</v>
      </c>
      <c r="J61" s="1035">
        <f t="shared" si="21"/>
        <v>20000</v>
      </c>
      <c r="K61" s="1024">
        <f t="shared" si="21"/>
        <v>-4000</v>
      </c>
      <c r="L61" s="1034">
        <f t="shared" si="21"/>
        <v>0</v>
      </c>
      <c r="M61" s="1035">
        <f t="shared" si="21"/>
        <v>16000</v>
      </c>
      <c r="N61" s="1024">
        <f t="shared" si="21"/>
        <v>-4000</v>
      </c>
      <c r="O61" s="1034">
        <f t="shared" si="21"/>
        <v>0</v>
      </c>
      <c r="P61" s="1035">
        <f t="shared" si="21"/>
        <v>12000</v>
      </c>
      <c r="Q61" s="1024">
        <f t="shared" si="21"/>
        <v>-4000</v>
      </c>
      <c r="R61" s="1034">
        <f t="shared" si="21"/>
        <v>0</v>
      </c>
      <c r="S61" s="1035">
        <f t="shared" si="21"/>
        <v>8000</v>
      </c>
      <c r="T61" s="1024">
        <f t="shared" si="21"/>
        <v>-4000</v>
      </c>
      <c r="U61" s="1034">
        <f t="shared" si="21"/>
        <v>0</v>
      </c>
      <c r="V61" s="1035">
        <f t="shared" si="21"/>
        <v>4000</v>
      </c>
      <c r="W61" s="1024">
        <f t="shared" si="21"/>
        <v>-4000</v>
      </c>
      <c r="X61" s="1034">
        <f t="shared" si="21"/>
        <v>0</v>
      </c>
      <c r="Y61" s="1035">
        <f t="shared" si="21"/>
        <v>0</v>
      </c>
    </row>
    <row r="62" spans="1:25" ht="15" customHeight="1" thickBot="1" x14ac:dyDescent="0.35">
      <c r="D62" s="325" t="s">
        <v>206</v>
      </c>
      <c r="E62" s="250" t="s">
        <v>207</v>
      </c>
      <c r="F62" s="375" t="s">
        <v>210</v>
      </c>
      <c r="G62" s="1004">
        <f xml:space="preserve"> G54</f>
        <v>0</v>
      </c>
      <c r="H62" s="1026">
        <f t="shared" ref="H62:Y64" si="22" xml:space="preserve"> H54</f>
        <v>0</v>
      </c>
      <c r="I62" s="1014">
        <f t="shared" si="22"/>
        <v>-3750</v>
      </c>
      <c r="J62" s="1004">
        <f xml:space="preserve"> J54</f>
        <v>-3750</v>
      </c>
      <c r="K62" s="1026">
        <f t="shared" si="22"/>
        <v>-93.75</v>
      </c>
      <c r="L62" s="1014">
        <f t="shared" si="22"/>
        <v>3330.6171232876673</v>
      </c>
      <c r="M62" s="1004">
        <f t="shared" si="22"/>
        <v>-513.13287671233275</v>
      </c>
      <c r="N62" s="1026">
        <f t="shared" si="22"/>
        <v>-12.828321917808319</v>
      </c>
      <c r="O62" s="1014">
        <f t="shared" si="22"/>
        <v>2985.5011739726046</v>
      </c>
      <c r="P62" s="1004">
        <f t="shared" si="22"/>
        <v>2459.5399753424635</v>
      </c>
      <c r="Q62" s="1026">
        <f t="shared" si="22"/>
        <v>61.488499383561589</v>
      </c>
      <c r="R62" s="1014">
        <f t="shared" si="22"/>
        <v>3688.4194438328814</v>
      </c>
      <c r="S62" s="1004">
        <f t="shared" si="22"/>
        <v>6209.4479185589062</v>
      </c>
      <c r="T62" s="1026">
        <f t="shared" si="22"/>
        <v>155.23619796397267</v>
      </c>
      <c r="U62" s="1014">
        <f t="shared" si="22"/>
        <v>4453.4735386492721</v>
      </c>
      <c r="V62" s="1004">
        <f t="shared" si="22"/>
        <v>10818.157655172152</v>
      </c>
      <c r="W62" s="1026">
        <f t="shared" si="22"/>
        <v>270.45394137930379</v>
      </c>
      <c r="X62" s="1014">
        <f t="shared" si="22"/>
        <v>-11088.611596551451</v>
      </c>
      <c r="Y62" s="1004">
        <f t="shared" si="22"/>
        <v>0</v>
      </c>
    </row>
    <row r="63" spans="1:25" ht="15" customHeight="1" thickTop="1" x14ac:dyDescent="0.3">
      <c r="D63" s="326" t="s">
        <v>205</v>
      </c>
      <c r="E63" s="328" t="s">
        <v>208</v>
      </c>
      <c r="F63" s="376" t="s">
        <v>211</v>
      </c>
      <c r="G63" s="1005">
        <f t="shared" ref="G63:V64" si="23" xml:space="preserve"> G55</f>
        <v>0</v>
      </c>
      <c r="H63" s="1027">
        <f t="shared" si="23"/>
        <v>0</v>
      </c>
      <c r="I63" s="1015">
        <f t="shared" si="23"/>
        <v>12000</v>
      </c>
      <c r="J63" s="1005">
        <f t="shared" si="23"/>
        <v>12000</v>
      </c>
      <c r="K63" s="1027">
        <f t="shared" si="23"/>
        <v>240</v>
      </c>
      <c r="L63" s="1015">
        <f t="shared" si="23"/>
        <v>-2640</v>
      </c>
      <c r="M63" s="1005">
        <f t="shared" si="23"/>
        <v>9600</v>
      </c>
      <c r="N63" s="1027">
        <f t="shared" si="23"/>
        <v>192</v>
      </c>
      <c r="O63" s="1015">
        <f t="shared" si="23"/>
        <v>-2592</v>
      </c>
      <c r="P63" s="1005">
        <f t="shared" si="23"/>
        <v>7200</v>
      </c>
      <c r="Q63" s="1027">
        <f t="shared" si="23"/>
        <v>144</v>
      </c>
      <c r="R63" s="1015">
        <f t="shared" si="23"/>
        <v>-2544</v>
      </c>
      <c r="S63" s="1005">
        <f t="shared" si="23"/>
        <v>4800</v>
      </c>
      <c r="T63" s="1027">
        <f t="shared" si="23"/>
        <v>96</v>
      </c>
      <c r="U63" s="1015">
        <f t="shared" si="23"/>
        <v>-2496</v>
      </c>
      <c r="V63" s="1005">
        <f t="shared" si="23"/>
        <v>2400</v>
      </c>
      <c r="W63" s="1027">
        <f t="shared" si="22"/>
        <v>48</v>
      </c>
      <c r="X63" s="1015">
        <f t="shared" si="22"/>
        <v>-2448</v>
      </c>
      <c r="Y63" s="1005">
        <f t="shared" si="22"/>
        <v>0</v>
      </c>
    </row>
    <row r="64" spans="1:25" ht="15" customHeight="1" thickBot="1" x14ac:dyDescent="0.35">
      <c r="D64" s="327" t="s">
        <v>204</v>
      </c>
      <c r="E64" s="329" t="s">
        <v>209</v>
      </c>
      <c r="F64" s="377" t="s">
        <v>212</v>
      </c>
      <c r="G64" s="1006">
        <f t="shared" si="23"/>
        <v>0</v>
      </c>
      <c r="H64" s="1028">
        <f t="shared" si="22"/>
        <v>0</v>
      </c>
      <c r="I64" s="1016">
        <f t="shared" si="22"/>
        <v>8000</v>
      </c>
      <c r="J64" s="1006">
        <f t="shared" si="22"/>
        <v>8000</v>
      </c>
      <c r="K64" s="1028">
        <f t="shared" si="22"/>
        <v>1166.375</v>
      </c>
      <c r="L64" s="1016">
        <f t="shared" si="22"/>
        <v>-233.27500000000001</v>
      </c>
      <c r="M64" s="1006">
        <f t="shared" si="22"/>
        <v>8933.1</v>
      </c>
      <c r="N64" s="1028">
        <f t="shared" si="22"/>
        <v>2096.6201746575343</v>
      </c>
      <c r="O64" s="1016">
        <f t="shared" si="22"/>
        <v>-419.3240349315069</v>
      </c>
      <c r="P64" s="1006">
        <f t="shared" si="22"/>
        <v>10610.396139726026</v>
      </c>
      <c r="Q64" s="1028">
        <f t="shared" si="22"/>
        <v>3106.2419495684931</v>
      </c>
      <c r="R64" s="1016">
        <f t="shared" si="22"/>
        <v>-621.2483899136987</v>
      </c>
      <c r="S64" s="1006">
        <f t="shared" si="22"/>
        <v>13095.389699380821</v>
      </c>
      <c r="T64" s="1028">
        <f t="shared" si="22"/>
        <v>4221.8653385747812</v>
      </c>
      <c r="U64" s="1016">
        <f t="shared" si="22"/>
        <v>-844.37306771495628</v>
      </c>
      <c r="V64" s="1006">
        <f t="shared" si="22"/>
        <v>16472.881970240644</v>
      </c>
      <c r="W64" s="1028">
        <f t="shared" si="22"/>
        <v>5454.3677589655126</v>
      </c>
      <c r="X64" s="1016">
        <f t="shared" si="22"/>
        <v>-21927.249729206156</v>
      </c>
      <c r="Y64" s="1006">
        <f t="shared" si="22"/>
        <v>0</v>
      </c>
    </row>
    <row r="65" spans="1:29" ht="13.8" thickBot="1" x14ac:dyDescent="0.35"/>
    <row r="66" spans="1:29" s="98" customFormat="1" ht="16.8" thickBot="1" x14ac:dyDescent="0.35">
      <c r="A66" s="96"/>
      <c r="B66" s="97" t="s">
        <v>237</v>
      </c>
      <c r="C66" s="96"/>
      <c r="D66" s="99"/>
      <c r="E66" s="97"/>
      <c r="F66" s="97"/>
    </row>
    <row r="67" spans="1:29" s="8" customFormat="1" ht="16.8" thickBot="1" x14ac:dyDescent="0.35">
      <c r="A67" s="7"/>
      <c r="B67" s="7"/>
      <c r="C67" s="379" t="s">
        <v>499</v>
      </c>
      <c r="D67" s="101" t="s">
        <v>1</v>
      </c>
      <c r="E67" s="330" t="s">
        <v>2</v>
      </c>
      <c r="F67" s="192" t="s">
        <v>49</v>
      </c>
      <c r="G67" s="996" t="s">
        <v>332</v>
      </c>
      <c r="H67" s="1017" t="s">
        <v>72</v>
      </c>
      <c r="I67" s="1036" t="s">
        <v>48</v>
      </c>
      <c r="J67" s="996" t="s">
        <v>4</v>
      </c>
      <c r="K67" s="1017" t="s">
        <v>73</v>
      </c>
      <c r="L67" s="1036" t="s">
        <v>74</v>
      </c>
      <c r="M67" s="996" t="s">
        <v>75</v>
      </c>
      <c r="N67" s="1017" t="s">
        <v>76</v>
      </c>
      <c r="O67" s="1036" t="s">
        <v>77</v>
      </c>
      <c r="P67" s="996" t="s">
        <v>78</v>
      </c>
      <c r="Q67" s="1017" t="s">
        <v>79</v>
      </c>
      <c r="R67" s="1036" t="s">
        <v>80</v>
      </c>
      <c r="S67" s="996" t="s">
        <v>81</v>
      </c>
      <c r="T67" s="1017" t="s">
        <v>82</v>
      </c>
      <c r="U67" s="1036" t="s">
        <v>83</v>
      </c>
      <c r="V67" s="996" t="s">
        <v>84</v>
      </c>
      <c r="W67" s="1017" t="s">
        <v>85</v>
      </c>
      <c r="X67" s="1036" t="s">
        <v>86</v>
      </c>
      <c r="Y67" s="996" t="s">
        <v>87</v>
      </c>
      <c r="AA67" s="8" t="s">
        <v>202</v>
      </c>
      <c r="AB67" s="8" t="s">
        <v>203</v>
      </c>
      <c r="AC67" s="8" t="s">
        <v>601</v>
      </c>
    </row>
    <row r="68" spans="1:29" s="15" customFormat="1" ht="14.4" x14ac:dyDescent="0.3">
      <c r="A68" s="3"/>
      <c r="B68" s="46"/>
      <c r="C68" s="317" t="s">
        <v>507</v>
      </c>
      <c r="D68" s="534" t="s">
        <v>224</v>
      </c>
      <c r="E68" s="190" t="s">
        <v>221</v>
      </c>
      <c r="F68" s="535" t="s">
        <v>223</v>
      </c>
      <c r="G68" s="1048">
        <f xml:space="preserve"> SUM( G60:G61 )</f>
        <v>0</v>
      </c>
      <c r="H68" s="1049">
        <f t="shared" ref="H68:Y68" si="24" xml:space="preserve"> SUM( H60:H61 )</f>
        <v>0</v>
      </c>
      <c r="I68" s="1050">
        <f t="shared" si="24"/>
        <v>23750</v>
      </c>
      <c r="J68" s="1048">
        <f t="shared" si="24"/>
        <v>23750</v>
      </c>
      <c r="K68" s="1049">
        <f t="shared" si="24"/>
        <v>1500.125</v>
      </c>
      <c r="L68" s="1050">
        <f t="shared" si="24"/>
        <v>-6203.8921232876673</v>
      </c>
      <c r="M68" s="1048">
        <f t="shared" si="24"/>
        <v>19046.232876712329</v>
      </c>
      <c r="N68" s="1049">
        <f t="shared" si="24"/>
        <v>2301.4484965753427</v>
      </c>
      <c r="O68" s="1050">
        <f t="shared" si="24"/>
        <v>-5996.8252089041116</v>
      </c>
      <c r="P68" s="1048">
        <f t="shared" si="24"/>
        <v>15350.856164383562</v>
      </c>
      <c r="Q68" s="1049">
        <f t="shared" si="24"/>
        <v>3188.7534501849314</v>
      </c>
      <c r="R68" s="1050">
        <f t="shared" si="24"/>
        <v>-6853.6678337465801</v>
      </c>
      <c r="S68" s="1048">
        <f t="shared" si="24"/>
        <v>11685.941780821917</v>
      </c>
      <c r="T68" s="1049">
        <f t="shared" si="24"/>
        <v>4162.6291406108085</v>
      </c>
      <c r="U68" s="1050">
        <f t="shared" si="24"/>
        <v>-7793.8466063642281</v>
      </c>
      <c r="V68" s="1048">
        <f t="shared" si="24"/>
        <v>8054.7243150684935</v>
      </c>
      <c r="W68" s="1049">
        <f t="shared" si="24"/>
        <v>5231.9138175862099</v>
      </c>
      <c r="X68" s="1050">
        <f t="shared" si="24"/>
        <v>-13286.638132654705</v>
      </c>
      <c r="Y68" s="1048">
        <f t="shared" si="24"/>
        <v>0</v>
      </c>
      <c r="AA68" s="639" t="s">
        <v>35</v>
      </c>
      <c r="AB68" s="643" t="s">
        <v>582</v>
      </c>
      <c r="AC68" s="646" t="s">
        <v>36</v>
      </c>
    </row>
    <row r="69" spans="1:29" s="15" customFormat="1" ht="15" thickBot="1" x14ac:dyDescent="0.35">
      <c r="A69" s="3"/>
      <c r="B69" s="46"/>
      <c r="C69" s="320" t="s">
        <v>508</v>
      </c>
      <c r="D69" s="325" t="s">
        <v>206</v>
      </c>
      <c r="E69" s="250" t="s">
        <v>207</v>
      </c>
      <c r="F69" s="375" t="s">
        <v>210</v>
      </c>
      <c r="G69" s="1004">
        <f xml:space="preserve"> G62</f>
        <v>0</v>
      </c>
      <c r="H69" s="1026">
        <f t="shared" ref="H69:Y69" si="25" xml:space="preserve"> H62</f>
        <v>0</v>
      </c>
      <c r="I69" s="1014">
        <f t="shared" si="25"/>
        <v>-3750</v>
      </c>
      <c r="J69" s="1004">
        <f xml:space="preserve"> J62</f>
        <v>-3750</v>
      </c>
      <c r="K69" s="1026">
        <f t="shared" si="25"/>
        <v>-93.75</v>
      </c>
      <c r="L69" s="1014">
        <f t="shared" si="25"/>
        <v>3330.6171232876673</v>
      </c>
      <c r="M69" s="1004">
        <f t="shared" si="25"/>
        <v>-513.13287671233275</v>
      </c>
      <c r="N69" s="1026">
        <f t="shared" si="25"/>
        <v>-12.828321917808319</v>
      </c>
      <c r="O69" s="1014">
        <f t="shared" si="25"/>
        <v>2985.5011739726046</v>
      </c>
      <c r="P69" s="1004">
        <f t="shared" si="25"/>
        <v>2459.5399753424635</v>
      </c>
      <c r="Q69" s="1026">
        <f t="shared" si="25"/>
        <v>61.488499383561589</v>
      </c>
      <c r="R69" s="1014">
        <f t="shared" si="25"/>
        <v>3688.4194438328814</v>
      </c>
      <c r="S69" s="1004">
        <f t="shared" si="25"/>
        <v>6209.4479185589062</v>
      </c>
      <c r="T69" s="1026">
        <f t="shared" si="25"/>
        <v>155.23619796397267</v>
      </c>
      <c r="U69" s="1014">
        <f t="shared" si="25"/>
        <v>4453.4735386492721</v>
      </c>
      <c r="V69" s="1004">
        <f t="shared" si="25"/>
        <v>10818.157655172152</v>
      </c>
      <c r="W69" s="1026">
        <f t="shared" si="25"/>
        <v>270.45394137930379</v>
      </c>
      <c r="X69" s="1014">
        <f t="shared" si="25"/>
        <v>-11088.611596551451</v>
      </c>
      <c r="Y69" s="1004">
        <f t="shared" si="25"/>
        <v>0</v>
      </c>
      <c r="AA69" s="734" t="s">
        <v>37</v>
      </c>
      <c r="AB69" s="735" t="s">
        <v>583</v>
      </c>
      <c r="AC69" s="736" t="s">
        <v>38</v>
      </c>
    </row>
    <row r="70" spans="1:29" s="15" customFormat="1" ht="15" thickTop="1" x14ac:dyDescent="0.3">
      <c r="A70" s="3"/>
      <c r="B70" s="46"/>
      <c r="C70" s="321" t="s">
        <v>509</v>
      </c>
      <c r="D70" s="326" t="s">
        <v>205</v>
      </c>
      <c r="E70" s="328" t="s">
        <v>208</v>
      </c>
      <c r="F70" s="376" t="s">
        <v>211</v>
      </c>
      <c r="G70" s="1005">
        <f xml:space="preserve"> G63</f>
        <v>0</v>
      </c>
      <c r="H70" s="1027">
        <f t="shared" ref="H70:Y70" si="26" xml:space="preserve"> H63</f>
        <v>0</v>
      </c>
      <c r="I70" s="1015">
        <f t="shared" si="26"/>
        <v>12000</v>
      </c>
      <c r="J70" s="1005">
        <f t="shared" si="26"/>
        <v>12000</v>
      </c>
      <c r="K70" s="1027">
        <f t="shared" si="26"/>
        <v>240</v>
      </c>
      <c r="L70" s="1015">
        <f t="shared" si="26"/>
        <v>-2640</v>
      </c>
      <c r="M70" s="1005">
        <f t="shared" si="26"/>
        <v>9600</v>
      </c>
      <c r="N70" s="1027">
        <f t="shared" si="26"/>
        <v>192</v>
      </c>
      <c r="O70" s="1015">
        <f t="shared" si="26"/>
        <v>-2592</v>
      </c>
      <c r="P70" s="1005">
        <f t="shared" si="26"/>
        <v>7200</v>
      </c>
      <c r="Q70" s="1027">
        <f t="shared" si="26"/>
        <v>144</v>
      </c>
      <c r="R70" s="1015">
        <f t="shared" si="26"/>
        <v>-2544</v>
      </c>
      <c r="S70" s="1005">
        <f t="shared" si="26"/>
        <v>4800</v>
      </c>
      <c r="T70" s="1027">
        <f t="shared" si="26"/>
        <v>96</v>
      </c>
      <c r="U70" s="1015">
        <f t="shared" si="26"/>
        <v>-2496</v>
      </c>
      <c r="V70" s="1005">
        <f t="shared" si="26"/>
        <v>2400</v>
      </c>
      <c r="W70" s="1027">
        <f t="shared" si="26"/>
        <v>48</v>
      </c>
      <c r="X70" s="1015">
        <f t="shared" si="26"/>
        <v>-2448</v>
      </c>
      <c r="Y70" s="1005">
        <f t="shared" si="26"/>
        <v>0</v>
      </c>
      <c r="AA70" s="737" t="s">
        <v>31</v>
      </c>
      <c r="AB70" s="738" t="s">
        <v>584</v>
      </c>
      <c r="AC70" s="739" t="s">
        <v>39</v>
      </c>
    </row>
    <row r="71" spans="1:29" s="15" customFormat="1" ht="15" thickBot="1" x14ac:dyDescent="0.35">
      <c r="A71" s="3"/>
      <c r="B71" s="46"/>
      <c r="C71" s="319" t="s">
        <v>510</v>
      </c>
      <c r="D71" s="327" t="s">
        <v>204</v>
      </c>
      <c r="E71" s="329" t="s">
        <v>209</v>
      </c>
      <c r="F71" s="377" t="s">
        <v>212</v>
      </c>
      <c r="G71" s="1006">
        <f xml:space="preserve"> G64</f>
        <v>0</v>
      </c>
      <c r="H71" s="1028">
        <f t="shared" ref="H71:Y71" si="27" xml:space="preserve"> H64</f>
        <v>0</v>
      </c>
      <c r="I71" s="1016">
        <f t="shared" si="27"/>
        <v>8000</v>
      </c>
      <c r="J71" s="1006">
        <f t="shared" si="27"/>
        <v>8000</v>
      </c>
      <c r="K71" s="1028">
        <f t="shared" si="27"/>
        <v>1166.375</v>
      </c>
      <c r="L71" s="1016">
        <f t="shared" si="27"/>
        <v>-233.27500000000001</v>
      </c>
      <c r="M71" s="1006">
        <f t="shared" si="27"/>
        <v>8933.1</v>
      </c>
      <c r="N71" s="1028">
        <f t="shared" si="27"/>
        <v>2096.6201746575343</v>
      </c>
      <c r="O71" s="1016">
        <f t="shared" si="27"/>
        <v>-419.3240349315069</v>
      </c>
      <c r="P71" s="1006">
        <f t="shared" si="27"/>
        <v>10610.396139726026</v>
      </c>
      <c r="Q71" s="1028">
        <f t="shared" si="27"/>
        <v>3106.2419495684931</v>
      </c>
      <c r="R71" s="1016">
        <f t="shared" si="27"/>
        <v>-621.2483899136987</v>
      </c>
      <c r="S71" s="1006">
        <f t="shared" si="27"/>
        <v>13095.389699380821</v>
      </c>
      <c r="T71" s="1028">
        <f t="shared" si="27"/>
        <v>4221.8653385747812</v>
      </c>
      <c r="U71" s="1016">
        <f t="shared" si="27"/>
        <v>-844.37306771495628</v>
      </c>
      <c r="V71" s="1006">
        <f t="shared" si="27"/>
        <v>16472.881970240644</v>
      </c>
      <c r="W71" s="1028">
        <f t="shared" si="27"/>
        <v>5454.3677589655126</v>
      </c>
      <c r="X71" s="1016">
        <f t="shared" si="27"/>
        <v>-21927.249729206156</v>
      </c>
      <c r="Y71" s="1006">
        <f t="shared" si="27"/>
        <v>0</v>
      </c>
      <c r="AA71" s="641" t="s">
        <v>30</v>
      </c>
      <c r="AB71" s="645" t="s">
        <v>23</v>
      </c>
      <c r="AC71" s="649" t="s">
        <v>22</v>
      </c>
    </row>
    <row r="72" spans="1:29" ht="13.8" thickBot="1" x14ac:dyDescent="0.35">
      <c r="A72" s="3"/>
      <c r="B72" s="46"/>
    </row>
    <row r="73" spans="1:29" s="98" customFormat="1" ht="16.8" thickBot="1" x14ac:dyDescent="0.35">
      <c r="A73" s="96"/>
      <c r="B73" s="97" t="s">
        <v>238</v>
      </c>
      <c r="C73" s="96"/>
      <c r="D73" s="99"/>
      <c r="E73" s="97"/>
      <c r="F73" s="97"/>
    </row>
    <row r="74" spans="1:29" s="8" customFormat="1" ht="16.8" thickBot="1" x14ac:dyDescent="0.35">
      <c r="A74" s="7"/>
      <c r="B74" s="7"/>
      <c r="C74" s="379" t="s">
        <v>499</v>
      </c>
      <c r="D74" s="101" t="s">
        <v>1</v>
      </c>
      <c r="E74" s="330" t="s">
        <v>2</v>
      </c>
      <c r="F74" s="192" t="s">
        <v>49</v>
      </c>
      <c r="G74" s="996" t="s">
        <v>332</v>
      </c>
      <c r="H74" s="1017" t="s">
        <v>72</v>
      </c>
      <c r="I74" s="1036" t="s">
        <v>48</v>
      </c>
      <c r="J74" s="996" t="s">
        <v>4</v>
      </c>
      <c r="K74" s="1017" t="s">
        <v>73</v>
      </c>
      <c r="L74" s="1036" t="s">
        <v>74</v>
      </c>
      <c r="M74" s="996" t="s">
        <v>75</v>
      </c>
      <c r="N74" s="1017" t="s">
        <v>76</v>
      </c>
      <c r="O74" s="1036" t="s">
        <v>77</v>
      </c>
      <c r="P74" s="996" t="s">
        <v>78</v>
      </c>
      <c r="Q74" s="1017" t="s">
        <v>79</v>
      </c>
      <c r="R74" s="1036" t="s">
        <v>80</v>
      </c>
      <c r="S74" s="996" t="s">
        <v>81</v>
      </c>
      <c r="T74" s="1017" t="s">
        <v>82</v>
      </c>
      <c r="U74" s="1036" t="s">
        <v>83</v>
      </c>
      <c r="V74" s="996" t="s">
        <v>84</v>
      </c>
      <c r="W74" s="1017" t="s">
        <v>85</v>
      </c>
      <c r="X74" s="1036" t="s">
        <v>86</v>
      </c>
      <c r="Y74" s="996" t="s">
        <v>87</v>
      </c>
    </row>
    <row r="75" spans="1:29" s="26" customFormat="1" ht="15" thickBot="1" x14ac:dyDescent="0.35">
      <c r="A75" s="3"/>
      <c r="B75" s="46"/>
      <c r="C75" s="322" t="s">
        <v>511</v>
      </c>
      <c r="D75" s="539" t="s">
        <v>229</v>
      </c>
      <c r="E75" s="251" t="s">
        <v>225</v>
      </c>
      <c r="F75" s="536" t="s">
        <v>228</v>
      </c>
      <c r="G75" s="1051">
        <f xml:space="preserve"> SUM( G68:G69 )</f>
        <v>0</v>
      </c>
      <c r="H75" s="1068">
        <f t="shared" ref="H75:Y75" si="28" xml:space="preserve"> SUM( H68:H69 )</f>
        <v>0</v>
      </c>
      <c r="I75" s="1052">
        <f t="shared" si="28"/>
        <v>20000</v>
      </c>
      <c r="J75" s="1051">
        <f t="shared" si="28"/>
        <v>20000</v>
      </c>
      <c r="K75" s="1068">
        <f t="shared" si="28"/>
        <v>1406.375</v>
      </c>
      <c r="L75" s="1052">
        <f t="shared" si="28"/>
        <v>-2873.2750000000001</v>
      </c>
      <c r="M75" s="1051">
        <f t="shared" si="28"/>
        <v>18533.099999999995</v>
      </c>
      <c r="N75" s="1068">
        <f t="shared" si="28"/>
        <v>2288.6201746575343</v>
      </c>
      <c r="O75" s="1052">
        <f t="shared" si="28"/>
        <v>-3011.324034931507</v>
      </c>
      <c r="P75" s="1051">
        <f t="shared" si="28"/>
        <v>17810.396139726025</v>
      </c>
      <c r="Q75" s="1068">
        <f t="shared" si="28"/>
        <v>3250.2419495684931</v>
      </c>
      <c r="R75" s="1052">
        <f t="shared" si="28"/>
        <v>-3165.2483899136987</v>
      </c>
      <c r="S75" s="1051">
        <f t="shared" si="28"/>
        <v>17895.389699380823</v>
      </c>
      <c r="T75" s="1068">
        <f t="shared" si="28"/>
        <v>4317.8653385747812</v>
      </c>
      <c r="U75" s="1052">
        <f t="shared" si="28"/>
        <v>-3340.3730677149561</v>
      </c>
      <c r="V75" s="1051">
        <f t="shared" si="28"/>
        <v>18872.881970240647</v>
      </c>
      <c r="W75" s="1068">
        <f t="shared" si="28"/>
        <v>5502.3677589655135</v>
      </c>
      <c r="X75" s="1052">
        <f t="shared" si="28"/>
        <v>-24375.249729206156</v>
      </c>
      <c r="Y75" s="1051">
        <f t="shared" si="28"/>
        <v>0</v>
      </c>
    </row>
    <row r="76" spans="1:29" s="26" customFormat="1" ht="15.6" thickTop="1" thickBot="1" x14ac:dyDescent="0.35">
      <c r="A76" s="3"/>
      <c r="B76" s="46"/>
      <c r="C76" s="321" t="s">
        <v>512</v>
      </c>
      <c r="D76" s="540" t="s">
        <v>230</v>
      </c>
      <c r="E76" s="538" t="s">
        <v>226</v>
      </c>
      <c r="F76" s="537" t="s">
        <v>227</v>
      </c>
      <c r="G76" s="1053">
        <f xml:space="preserve"> SUM( G70:G71 )</f>
        <v>0</v>
      </c>
      <c r="H76" s="1067">
        <f t="shared" ref="H76:Y76" si="29" xml:space="preserve"> SUM( H70:H71 )</f>
        <v>0</v>
      </c>
      <c r="I76" s="1066">
        <f t="shared" si="29"/>
        <v>20000</v>
      </c>
      <c r="J76" s="1053">
        <f t="shared" si="29"/>
        <v>20000</v>
      </c>
      <c r="K76" s="1067">
        <f t="shared" si="29"/>
        <v>1406.375</v>
      </c>
      <c r="L76" s="1066">
        <f t="shared" si="29"/>
        <v>-2873.2750000000001</v>
      </c>
      <c r="M76" s="1053">
        <f t="shared" si="29"/>
        <v>18533.099999999999</v>
      </c>
      <c r="N76" s="1067">
        <f t="shared" si="29"/>
        <v>2288.6201746575343</v>
      </c>
      <c r="O76" s="1066">
        <f t="shared" si="29"/>
        <v>-3011.324034931507</v>
      </c>
      <c r="P76" s="1053">
        <f t="shared" si="29"/>
        <v>17810.396139726028</v>
      </c>
      <c r="Q76" s="1067">
        <f t="shared" si="29"/>
        <v>3250.2419495684931</v>
      </c>
      <c r="R76" s="1066">
        <f t="shared" si="29"/>
        <v>-3165.2483899136987</v>
      </c>
      <c r="S76" s="1053">
        <f t="shared" si="29"/>
        <v>17895.389699380823</v>
      </c>
      <c r="T76" s="1067">
        <f t="shared" si="29"/>
        <v>4317.8653385747812</v>
      </c>
      <c r="U76" s="1066">
        <f t="shared" si="29"/>
        <v>-3340.3730677149561</v>
      </c>
      <c r="V76" s="1053">
        <f t="shared" si="29"/>
        <v>18872.881970240644</v>
      </c>
      <c r="W76" s="1067">
        <f t="shared" si="29"/>
        <v>5502.3677589655126</v>
      </c>
      <c r="X76" s="1066">
        <f t="shared" si="29"/>
        <v>-24375.249729206156</v>
      </c>
      <c r="Y76" s="1053">
        <f t="shared" si="29"/>
        <v>0</v>
      </c>
    </row>
    <row r="78" spans="1:29" ht="13.8" thickBot="1" x14ac:dyDescent="0.35"/>
    <row r="79" spans="1:29" s="531" customFormat="1" ht="21.6" thickBot="1" x14ac:dyDescent="0.35">
      <c r="A79" s="528"/>
      <c r="B79" s="529" t="s">
        <v>403</v>
      </c>
      <c r="C79" s="528"/>
      <c r="D79" s="530"/>
      <c r="E79" s="529"/>
    </row>
    <row r="80" spans="1:29" ht="13.8" thickBot="1" x14ac:dyDescent="0.35"/>
    <row r="81" spans="1:25" s="533" customFormat="1" ht="16.8" hidden="1" thickBot="1" x14ac:dyDescent="0.35">
      <c r="A81" s="532"/>
      <c r="B81" s="531" t="s">
        <v>403</v>
      </c>
      <c r="C81" s="532"/>
      <c r="D81" s="530"/>
      <c r="E81" s="531"/>
      <c r="F81" s="531"/>
    </row>
    <row r="82" spans="1:25" s="8" customFormat="1" ht="17.399999999999999" thickBot="1" x14ac:dyDescent="0.35">
      <c r="A82" s="7"/>
      <c r="B82" s="7"/>
      <c r="C82" s="379" t="s">
        <v>499</v>
      </c>
      <c r="D82" s="101" t="s">
        <v>94</v>
      </c>
      <c r="E82" s="330" t="s">
        <v>375</v>
      </c>
      <c r="F82" s="192" t="s">
        <v>376</v>
      </c>
      <c r="G82" s="996" t="s">
        <v>385</v>
      </c>
      <c r="H82" s="1017" t="s">
        <v>386</v>
      </c>
      <c r="I82" s="1036" t="s">
        <v>387</v>
      </c>
      <c r="J82" s="996" t="s">
        <v>388</v>
      </c>
      <c r="K82" s="1017" t="s">
        <v>389</v>
      </c>
      <c r="L82" s="1036" t="s">
        <v>416</v>
      </c>
      <c r="M82" s="996" t="s">
        <v>390</v>
      </c>
      <c r="N82" s="1017" t="s">
        <v>391</v>
      </c>
      <c r="O82" s="1036" t="s">
        <v>417</v>
      </c>
      <c r="P82" s="996" t="s">
        <v>392</v>
      </c>
      <c r="Q82" s="1017" t="s">
        <v>393</v>
      </c>
      <c r="R82" s="1036" t="s">
        <v>418</v>
      </c>
      <c r="S82" s="996" t="s">
        <v>394</v>
      </c>
      <c r="T82" s="1017" t="s">
        <v>395</v>
      </c>
      <c r="U82" s="1036" t="s">
        <v>419</v>
      </c>
      <c r="V82" s="996" t="s">
        <v>396</v>
      </c>
      <c r="W82" s="1017" t="s">
        <v>397</v>
      </c>
      <c r="X82" s="1036" t="s">
        <v>420</v>
      </c>
      <c r="Y82" s="996" t="s">
        <v>398</v>
      </c>
    </row>
    <row r="83" spans="1:25" s="15" customFormat="1" ht="14.4" x14ac:dyDescent="0.3">
      <c r="A83" s="3"/>
      <c r="B83" s="46"/>
      <c r="C83" s="317" t="s">
        <v>507</v>
      </c>
      <c r="D83" s="534" t="s">
        <v>335</v>
      </c>
      <c r="E83" s="190" t="s">
        <v>377</v>
      </c>
      <c r="F83" s="535" t="s">
        <v>378</v>
      </c>
      <c r="G83" s="1054">
        <f xml:space="preserve"> ( J83 - I83 ) / ( 1 + $F$3 )</f>
        <v>0</v>
      </c>
      <c r="H83" s="1058">
        <f xml:space="preserve"> G83 * $F$3</f>
        <v>0</v>
      </c>
      <c r="I83" s="1062">
        <f xml:space="preserve"> IF( I$9 = 0, J83, I68 )</f>
        <v>25497.512523568803</v>
      </c>
      <c r="J83" s="1054">
        <f xml:space="preserve"> ( M83 - L83 ) / ( 1 + $F$3 )</f>
        <v>25497.512523568803</v>
      </c>
      <c r="K83" s="1058">
        <f xml:space="preserve"> J83 * $F$3</f>
        <v>3824.6268785353204</v>
      </c>
      <c r="L83" s="1062">
        <f xml:space="preserve"> IF( L$9 = 0, M83, L68 )</f>
        <v>-6203.8921232876673</v>
      </c>
      <c r="M83" s="1054">
        <f xml:space="preserve"> ( P83 - O83 ) / ( 1 + $F$3 )</f>
        <v>23118.247278816452</v>
      </c>
      <c r="N83" s="1058">
        <f xml:space="preserve"> M83 * $F$3</f>
        <v>3467.7370918224678</v>
      </c>
      <c r="O83" s="1062">
        <f xml:space="preserve"> IF( O$9 = 0, P83, O68 )</f>
        <v>-5996.8252089041116</v>
      </c>
      <c r="P83" s="1054">
        <f xml:space="preserve"> ( S83 - R83 ) / ( 1 + $F$3 )</f>
        <v>20589.159161734806</v>
      </c>
      <c r="Q83" s="1058">
        <f xml:space="preserve"> P83 * $F$3</f>
        <v>3088.3738742602209</v>
      </c>
      <c r="R83" s="1062">
        <f xml:space="preserve"> IF( R$9 = 0, S83, R68 )</f>
        <v>-6853.6678337465801</v>
      </c>
      <c r="S83" s="1054">
        <f xml:space="preserve"> ( V83 - U83 ) / ( 1 + $F$3 )</f>
        <v>16823.865202248446</v>
      </c>
      <c r="T83" s="1058">
        <f xml:space="preserve"> S83 * $F$3</f>
        <v>2523.5797803372666</v>
      </c>
      <c r="U83" s="1062">
        <f xml:space="preserve"> IF( U$9 = 0, V83, U68 )</f>
        <v>-7793.8466063642281</v>
      </c>
      <c r="V83" s="1054">
        <f xml:space="preserve"> ( Y83 - X83 ) / ( 1 + $F$3 )</f>
        <v>11553.598376221484</v>
      </c>
      <c r="W83" s="1058">
        <f xml:space="preserve"> V83 * $F$3</f>
        <v>1733.0397564332225</v>
      </c>
      <c r="X83" s="1062">
        <f xml:space="preserve"> IF( X$9 = 0, Y83, X68 )</f>
        <v>-13286.638132654705</v>
      </c>
      <c r="Y83" s="1054">
        <v>0</v>
      </c>
    </row>
    <row r="84" spans="1:25" s="15" customFormat="1" ht="15" thickBot="1" x14ac:dyDescent="0.35">
      <c r="A84" s="3"/>
      <c r="B84" s="46"/>
      <c r="C84" s="320" t="s">
        <v>508</v>
      </c>
      <c r="D84" s="325" t="s">
        <v>336</v>
      </c>
      <c r="E84" s="250" t="s">
        <v>379</v>
      </c>
      <c r="F84" s="375" t="s">
        <v>380</v>
      </c>
      <c r="G84" s="1055">
        <f xml:space="preserve"> ( J84 - I84 ) / ( 1 + $F$4 )</f>
        <v>0</v>
      </c>
      <c r="H84" s="1059">
        <f xml:space="preserve"> G84 * $F$4</f>
        <v>0</v>
      </c>
      <c r="I84" s="1063">
        <f xml:space="preserve"> IF( I$9 = 0, J84, I69 )</f>
        <v>-3533.5263740797186</v>
      </c>
      <c r="J84" s="1055">
        <f xml:space="preserve"> ( M84 - L84 ) / ( 1 + $F$4 )</f>
        <v>-3533.5263740797186</v>
      </c>
      <c r="K84" s="1059">
        <f xml:space="preserve"> J84 * $F$4</f>
        <v>-35.335263740797188</v>
      </c>
      <c r="L84" s="1063">
        <f xml:space="preserve"> IF( L$9 = 0, M84, L69 )</f>
        <v>3330.6171232876673</v>
      </c>
      <c r="M84" s="1055">
        <f xml:space="preserve"> ( P84 - O84 ) / ( 1 + $F$4 )</f>
        <v>-238.24451453284823</v>
      </c>
      <c r="N84" s="1059">
        <f xml:space="preserve"> M84 * $F$4</f>
        <v>-2.3824451453284823</v>
      </c>
      <c r="O84" s="1063">
        <f xml:space="preserve"> IF( O$9 = 0, P84, O69 )</f>
        <v>2985.5011739726046</v>
      </c>
      <c r="P84" s="1055">
        <f xml:space="preserve"> ( S84 - R84 ) / ( 1 + $F$4 )</f>
        <v>2744.8742142944279</v>
      </c>
      <c r="Q84" s="1059">
        <f xml:space="preserve"> P84 * $F$4</f>
        <v>27.44874214294428</v>
      </c>
      <c r="R84" s="1063">
        <f xml:space="preserve"> IF( R$9 = 0, S84, R69 )</f>
        <v>3688.4194438328814</v>
      </c>
      <c r="S84" s="1055">
        <f xml:space="preserve"> ( V84 - U84 ) / ( 1 + $F$4 )</f>
        <v>6460.7424002702537</v>
      </c>
      <c r="T84" s="1059">
        <f xml:space="preserve"> S84 * $F$4</f>
        <v>64.607424002702544</v>
      </c>
      <c r="U84" s="1063">
        <f xml:space="preserve"> IF( U$9 = 0, V84, U69 )</f>
        <v>4453.4735386492721</v>
      </c>
      <c r="V84" s="1055">
        <f xml:space="preserve"> ( Y84 - X84 ) / ( 1 + $F$4 )</f>
        <v>10978.823362922229</v>
      </c>
      <c r="W84" s="1059">
        <f xml:space="preserve"> V84 * $F$4</f>
        <v>109.78823362922229</v>
      </c>
      <c r="X84" s="1063">
        <f xml:space="preserve"> IF( X$9 = 0, Y84, X69 )</f>
        <v>-11088.611596551451</v>
      </c>
      <c r="Y84" s="1055">
        <v>0</v>
      </c>
    </row>
    <row r="85" spans="1:25" s="15" customFormat="1" ht="15" thickTop="1" x14ac:dyDescent="0.3">
      <c r="A85" s="3"/>
      <c r="B85" s="46"/>
      <c r="C85" s="321" t="s">
        <v>509</v>
      </c>
      <c r="D85" s="326" t="s">
        <v>337</v>
      </c>
      <c r="E85" s="328" t="s">
        <v>381</v>
      </c>
      <c r="F85" s="376" t="s">
        <v>382</v>
      </c>
      <c r="G85" s="1056">
        <f xml:space="preserve"> ( J85 - I85 ) / ( 1 + $F$5 )</f>
        <v>0</v>
      </c>
      <c r="H85" s="1060">
        <f xml:space="preserve"> G85 * $F$5</f>
        <v>0</v>
      </c>
      <c r="I85" s="1064">
        <f xml:space="preserve"> IF( I$9 = 0, J85, I70 )</f>
        <v>12173.884021634101</v>
      </c>
      <c r="J85" s="1056">
        <f xml:space="preserve"> ( M85 - L85 ) / ( 1 + $F$5 )</f>
        <v>12173.884021634101</v>
      </c>
      <c r="K85" s="1060">
        <f xml:space="preserve"> J85 * $F$5</f>
        <v>182.60826032451152</v>
      </c>
      <c r="L85" s="1064">
        <f xml:space="preserve"> IF( L$9 = 0, M85, L70 )</f>
        <v>-2640</v>
      </c>
      <c r="M85" s="1056">
        <f xml:space="preserve"> ( P85 - O85 ) / ( 1 + $F$5 )</f>
        <v>9716.4922819586118</v>
      </c>
      <c r="N85" s="1060">
        <f xml:space="preserve"> M85 * $F$5</f>
        <v>145.74738422937918</v>
      </c>
      <c r="O85" s="1064">
        <f xml:space="preserve"> IF( O$9 = 0, P85, O70 )</f>
        <v>-2592</v>
      </c>
      <c r="P85" s="1056">
        <f xml:space="preserve"> ( S85 - R85 ) / ( 1 + $F$5 )</f>
        <v>7270.2396661879911</v>
      </c>
      <c r="Q85" s="1060">
        <f xml:space="preserve"> P85 * $F$5</f>
        <v>109.05359499281987</v>
      </c>
      <c r="R85" s="1064">
        <f xml:space="preserve"> IF( R$9 = 0, S85, R70 )</f>
        <v>-2544</v>
      </c>
      <c r="S85" s="1056">
        <f xml:space="preserve"> ( V85 - U85 ) / ( 1 + $F$5 )</f>
        <v>4835.2932611808101</v>
      </c>
      <c r="T85" s="1060">
        <f xml:space="preserve"> S85 * $F$5</f>
        <v>72.529398917712143</v>
      </c>
      <c r="U85" s="1064">
        <f xml:space="preserve"> IF( U$9 = 0, V85, U70 )</f>
        <v>-2496</v>
      </c>
      <c r="V85" s="1056">
        <f xml:space="preserve"> ( Y85 - X85 ) / ( 1 + $F$5 )</f>
        <v>2411.8226600985222</v>
      </c>
      <c r="W85" s="1060">
        <f xml:space="preserve"> V85 * $F$5</f>
        <v>36.177339901477829</v>
      </c>
      <c r="X85" s="1064">
        <f xml:space="preserve"> IF( X$9 = 0, Y85, X70 )</f>
        <v>-2448</v>
      </c>
      <c r="Y85" s="1056">
        <v>0</v>
      </c>
    </row>
    <row r="86" spans="1:25" s="15" customFormat="1" ht="15" thickBot="1" x14ac:dyDescent="0.35">
      <c r="A86" s="3"/>
      <c r="B86" s="46"/>
      <c r="C86" s="319" t="s">
        <v>510</v>
      </c>
      <c r="D86" s="327" t="s">
        <v>338</v>
      </c>
      <c r="E86" s="329" t="s">
        <v>383</v>
      </c>
      <c r="F86" s="377" t="s">
        <v>384</v>
      </c>
      <c r="G86" s="1057">
        <f xml:space="preserve"> G83 + G84 - G85</f>
        <v>0</v>
      </c>
      <c r="H86" s="1079">
        <f t="shared" ref="H86:X86" si="30" xml:space="preserve"> H83 + H84 - H85</f>
        <v>0</v>
      </c>
      <c r="I86" s="1065">
        <f t="shared" si="30"/>
        <v>9790.1021278549815</v>
      </c>
      <c r="J86" s="1057">
        <f t="shared" si="30"/>
        <v>9790.1021278549815</v>
      </c>
      <c r="K86" s="1061">
        <f t="shared" si="30"/>
        <v>3606.6833544700121</v>
      </c>
      <c r="L86" s="1065">
        <f t="shared" si="30"/>
        <v>-233.27500000000009</v>
      </c>
      <c r="M86" s="1057">
        <f t="shared" si="30"/>
        <v>13163.510482324991</v>
      </c>
      <c r="N86" s="1061">
        <f t="shared" si="30"/>
        <v>3319.6072624477601</v>
      </c>
      <c r="O86" s="1065">
        <f t="shared" si="30"/>
        <v>-419.32403493150696</v>
      </c>
      <c r="P86" s="1057">
        <f t="shared" si="30"/>
        <v>16063.793709841244</v>
      </c>
      <c r="Q86" s="1061">
        <f t="shared" si="30"/>
        <v>3006.7690214103454</v>
      </c>
      <c r="R86" s="1065">
        <f t="shared" si="30"/>
        <v>-621.2483899136987</v>
      </c>
      <c r="S86" s="1057">
        <f t="shared" si="30"/>
        <v>18449.314341337889</v>
      </c>
      <c r="T86" s="1061">
        <f t="shared" si="30"/>
        <v>2515.6578054222568</v>
      </c>
      <c r="U86" s="1065">
        <f t="shared" si="30"/>
        <v>-844.37306771495605</v>
      </c>
      <c r="V86" s="1057">
        <f t="shared" si="30"/>
        <v>20120.599079045191</v>
      </c>
      <c r="W86" s="1061">
        <f t="shared" si="30"/>
        <v>1806.650650160967</v>
      </c>
      <c r="X86" s="1065">
        <f t="shared" si="30"/>
        <v>-21927.249729206156</v>
      </c>
      <c r="Y86" s="1057">
        <v>0</v>
      </c>
    </row>
    <row r="87" spans="1:25" ht="13.8" thickBot="1" x14ac:dyDescent="0.35">
      <c r="H87" s="191"/>
      <c r="I87" s="191"/>
      <c r="J87" s="191"/>
      <c r="K87" s="191"/>
      <c r="L87" s="191"/>
      <c r="M87" s="191"/>
      <c r="N87" s="191"/>
      <c r="O87" s="191"/>
      <c r="P87" s="191"/>
      <c r="Q87" s="191"/>
      <c r="R87" s="191"/>
      <c r="S87" s="191"/>
      <c r="T87" s="191"/>
      <c r="U87" s="191"/>
      <c r="V87" s="191"/>
      <c r="W87" s="191"/>
      <c r="X87" s="191"/>
      <c r="Y87" s="191"/>
    </row>
    <row r="88" spans="1:25" s="533" customFormat="1" ht="16.8" thickBot="1" x14ac:dyDescent="0.35">
      <c r="A88" s="532"/>
      <c r="B88" s="531" t="s">
        <v>404</v>
      </c>
      <c r="C88" s="532"/>
      <c r="D88" s="530"/>
      <c r="E88" s="531"/>
      <c r="F88" s="531"/>
    </row>
    <row r="89" spans="1:25" s="8" customFormat="1" ht="17.399999999999999" thickBot="1" x14ac:dyDescent="0.35">
      <c r="A89" s="7"/>
      <c r="B89" s="7"/>
      <c r="C89" s="379" t="s">
        <v>499</v>
      </c>
      <c r="D89" s="101" t="s">
        <v>94</v>
      </c>
      <c r="E89" s="330" t="s">
        <v>375</v>
      </c>
      <c r="F89" s="192" t="s">
        <v>376</v>
      </c>
      <c r="G89" s="996" t="s">
        <v>385</v>
      </c>
      <c r="H89" s="1017" t="s">
        <v>386</v>
      </c>
      <c r="I89" s="1036" t="s">
        <v>387</v>
      </c>
      <c r="J89" s="996" t="s">
        <v>388</v>
      </c>
      <c r="K89" s="1017" t="s">
        <v>389</v>
      </c>
      <c r="L89" s="1036" t="s">
        <v>416</v>
      </c>
      <c r="M89" s="996" t="s">
        <v>390</v>
      </c>
      <c r="N89" s="1017" t="s">
        <v>391</v>
      </c>
      <c r="O89" s="1036" t="s">
        <v>417</v>
      </c>
      <c r="P89" s="996" t="s">
        <v>392</v>
      </c>
      <c r="Q89" s="1017" t="s">
        <v>393</v>
      </c>
      <c r="R89" s="1036" t="s">
        <v>418</v>
      </c>
      <c r="S89" s="996" t="s">
        <v>394</v>
      </c>
      <c r="T89" s="1017" t="s">
        <v>395</v>
      </c>
      <c r="U89" s="1036" t="s">
        <v>419</v>
      </c>
      <c r="V89" s="996" t="s">
        <v>396</v>
      </c>
      <c r="W89" s="1017" t="s">
        <v>397</v>
      </c>
      <c r="X89" s="1036" t="s">
        <v>420</v>
      </c>
      <c r="Y89" s="996" t="s">
        <v>398</v>
      </c>
    </row>
    <row r="90" spans="1:25" s="26" customFormat="1" ht="15" thickBot="1" x14ac:dyDescent="0.35">
      <c r="A90" s="3"/>
      <c r="B90" s="46"/>
      <c r="C90" s="322" t="s">
        <v>511</v>
      </c>
      <c r="D90" s="539" t="s">
        <v>339</v>
      </c>
      <c r="E90" s="251" t="s">
        <v>399</v>
      </c>
      <c r="F90" s="536" t="s">
        <v>400</v>
      </c>
      <c r="G90" s="1069">
        <f xml:space="preserve"> SUM( G83:G84 )</f>
        <v>0</v>
      </c>
      <c r="H90" s="1070">
        <f xml:space="preserve"> SUM( H83:H84 )</f>
        <v>0</v>
      </c>
      <c r="I90" s="1071">
        <f xml:space="preserve"> SUM( I83:I84 )</f>
        <v>21963.986149489083</v>
      </c>
      <c r="J90" s="1069">
        <f xml:space="preserve"> SUM( J83:J84 )</f>
        <v>21963.986149489083</v>
      </c>
      <c r="K90" s="1070">
        <f t="shared" ref="K90:X90" si="31" xml:space="preserve"> SUM( K83:K84 )</f>
        <v>3789.2916147945234</v>
      </c>
      <c r="L90" s="1071">
        <f t="shared" si="31"/>
        <v>-2873.2750000000001</v>
      </c>
      <c r="M90" s="1069">
        <f t="shared" si="31"/>
        <v>22880.002764283603</v>
      </c>
      <c r="N90" s="1070">
        <f t="shared" si="31"/>
        <v>3465.3546466771395</v>
      </c>
      <c r="O90" s="1071">
        <f t="shared" si="31"/>
        <v>-3011.324034931507</v>
      </c>
      <c r="P90" s="1069">
        <f t="shared" si="31"/>
        <v>23334.033376029234</v>
      </c>
      <c r="Q90" s="1070">
        <f t="shared" si="31"/>
        <v>3115.8226164031653</v>
      </c>
      <c r="R90" s="1071">
        <f t="shared" si="31"/>
        <v>-3165.2483899136987</v>
      </c>
      <c r="S90" s="1069">
        <f t="shared" si="31"/>
        <v>23284.607602518699</v>
      </c>
      <c r="T90" s="1070">
        <f t="shared" si="31"/>
        <v>2588.187204339969</v>
      </c>
      <c r="U90" s="1071">
        <f t="shared" si="31"/>
        <v>-3340.3730677149561</v>
      </c>
      <c r="V90" s="1069">
        <f t="shared" si="31"/>
        <v>22532.421739143712</v>
      </c>
      <c r="W90" s="1070">
        <f t="shared" si="31"/>
        <v>1842.8279900624448</v>
      </c>
      <c r="X90" s="1071">
        <f t="shared" si="31"/>
        <v>-24375.249729206156</v>
      </c>
      <c r="Y90" s="1069">
        <f xml:space="preserve"> SUM( Y83:Y84 )</f>
        <v>0</v>
      </c>
    </row>
    <row r="91" spans="1:25" s="26" customFormat="1" ht="15.6" thickTop="1" thickBot="1" x14ac:dyDescent="0.35">
      <c r="A91" s="3"/>
      <c r="B91" s="46"/>
      <c r="C91" s="321" t="s">
        <v>512</v>
      </c>
      <c r="D91" s="540" t="s">
        <v>340</v>
      </c>
      <c r="E91" s="538" t="s">
        <v>401</v>
      </c>
      <c r="F91" s="537" t="s">
        <v>402</v>
      </c>
      <c r="G91" s="1072">
        <f xml:space="preserve"> SUM( G85:G86 )</f>
        <v>0</v>
      </c>
      <c r="H91" s="1073">
        <f xml:space="preserve"> SUM( H85:H86 )</f>
        <v>0</v>
      </c>
      <c r="I91" s="1074">
        <f xml:space="preserve"> SUM( I85:I86 )</f>
        <v>21963.986149489083</v>
      </c>
      <c r="J91" s="1072">
        <f xml:space="preserve"> SUM( J85:J86 )</f>
        <v>21963.986149489083</v>
      </c>
      <c r="K91" s="1073">
        <f t="shared" ref="K91:Y91" si="32" xml:space="preserve"> SUM( K85:K86 )</f>
        <v>3789.2916147945234</v>
      </c>
      <c r="L91" s="1074">
        <f t="shared" si="32"/>
        <v>-2873.2750000000001</v>
      </c>
      <c r="M91" s="1072">
        <f t="shared" si="32"/>
        <v>22880.002764283603</v>
      </c>
      <c r="N91" s="1073">
        <f t="shared" si="32"/>
        <v>3465.3546466771395</v>
      </c>
      <c r="O91" s="1074">
        <f t="shared" si="32"/>
        <v>-3011.324034931507</v>
      </c>
      <c r="P91" s="1072">
        <f t="shared" si="32"/>
        <v>23334.033376029234</v>
      </c>
      <c r="Q91" s="1073">
        <f t="shared" si="32"/>
        <v>3115.8226164031653</v>
      </c>
      <c r="R91" s="1074">
        <f t="shared" si="32"/>
        <v>-3165.2483899136987</v>
      </c>
      <c r="S91" s="1072">
        <f t="shared" si="32"/>
        <v>23284.607602518699</v>
      </c>
      <c r="T91" s="1073">
        <f t="shared" si="32"/>
        <v>2588.187204339969</v>
      </c>
      <c r="U91" s="1074">
        <f t="shared" si="32"/>
        <v>-3340.3730677149561</v>
      </c>
      <c r="V91" s="1072">
        <f t="shared" si="32"/>
        <v>22532.421739143712</v>
      </c>
      <c r="W91" s="1073">
        <f t="shared" si="32"/>
        <v>1842.8279900624448</v>
      </c>
      <c r="X91" s="1074">
        <f t="shared" si="32"/>
        <v>-24375.249729206156</v>
      </c>
      <c r="Y91" s="1072">
        <f t="shared" si="32"/>
        <v>0</v>
      </c>
    </row>
    <row r="92" spans="1:25" x14ac:dyDescent="0.3">
      <c r="H92" s="191"/>
      <c r="I92" s="191"/>
      <c r="J92" s="191"/>
      <c r="K92" s="191"/>
      <c r="L92" s="191"/>
      <c r="M92" s="191"/>
      <c r="N92" s="191"/>
      <c r="O92" s="191"/>
      <c r="P92" s="191"/>
      <c r="Q92" s="191"/>
      <c r="R92" s="191"/>
      <c r="S92" s="191"/>
      <c r="T92" s="191"/>
      <c r="U92" s="191"/>
      <c r="V92" s="191"/>
      <c r="W92" s="191"/>
      <c r="X92" s="191"/>
      <c r="Y92" s="191"/>
    </row>
    <row r="93" spans="1:25" ht="13.8" thickBot="1" x14ac:dyDescent="0.35"/>
    <row r="94" spans="1:25" s="550" customFormat="1" ht="21.6" thickBot="1" x14ac:dyDescent="0.35">
      <c r="A94" s="547"/>
      <c r="B94" s="548" t="s">
        <v>871</v>
      </c>
      <c r="C94" s="547"/>
      <c r="D94" s="549"/>
      <c r="E94" s="548"/>
    </row>
    <row r="95" spans="1:25" ht="13.8" thickBot="1" x14ac:dyDescent="0.35"/>
    <row r="96" spans="1:25" s="552" customFormat="1" ht="16.8" thickBot="1" x14ac:dyDescent="0.35">
      <c r="A96" s="551"/>
      <c r="B96" s="550" t="s">
        <v>872</v>
      </c>
      <c r="C96" s="551"/>
      <c r="D96" s="549"/>
      <c r="E96" s="550"/>
      <c r="F96" s="550"/>
    </row>
    <row r="97" spans="1:25" s="8" customFormat="1" ht="17.399999999999999" thickBot="1" x14ac:dyDescent="0.35">
      <c r="A97" s="7"/>
      <c r="B97" s="7"/>
      <c r="C97" s="379" t="s">
        <v>499</v>
      </c>
      <c r="D97" s="101"/>
      <c r="E97" s="330"/>
      <c r="F97" s="192"/>
      <c r="G97" s="996" t="s">
        <v>374</v>
      </c>
      <c r="H97" s="1017" t="s">
        <v>97</v>
      </c>
      <c r="I97" s="1036" t="s">
        <v>239</v>
      </c>
      <c r="J97" s="996" t="s">
        <v>96</v>
      </c>
      <c r="K97" s="1017" t="s">
        <v>98</v>
      </c>
      <c r="L97" s="1036" t="s">
        <v>240</v>
      </c>
      <c r="M97" s="996" t="s">
        <v>99</v>
      </c>
      <c r="N97" s="1017" t="s">
        <v>100</v>
      </c>
      <c r="O97" s="1036" t="s">
        <v>241</v>
      </c>
      <c r="P97" s="996" t="s">
        <v>101</v>
      </c>
      <c r="Q97" s="1017" t="s">
        <v>102</v>
      </c>
      <c r="R97" s="1036" t="s">
        <v>242</v>
      </c>
      <c r="S97" s="996" t="s">
        <v>302</v>
      </c>
      <c r="T97" s="1017" t="s">
        <v>103</v>
      </c>
      <c r="U97" s="1036" t="s">
        <v>243</v>
      </c>
      <c r="V97" s="996" t="s">
        <v>104</v>
      </c>
      <c r="W97" s="1017" t="s">
        <v>105</v>
      </c>
      <c r="X97" s="1036" t="s">
        <v>244</v>
      </c>
      <c r="Y97" s="996" t="s">
        <v>106</v>
      </c>
    </row>
    <row r="98" spans="1:25" s="15" customFormat="1" ht="14.4" x14ac:dyDescent="0.3">
      <c r="A98" s="3"/>
      <c r="B98" s="561" t="s">
        <v>156</v>
      </c>
      <c r="C98" s="317" t="s">
        <v>507</v>
      </c>
      <c r="D98" s="541" t="s">
        <v>406</v>
      </c>
      <c r="E98" s="967" t="s">
        <v>873</v>
      </c>
      <c r="F98" s="555" t="s">
        <v>405</v>
      </c>
      <c r="G98" s="1075">
        <f t="shared" ref="G98:Y98" si="33" xml:space="preserve"> G83 - G68</f>
        <v>0</v>
      </c>
      <c r="H98" s="1081">
        <f t="shared" si="33"/>
        <v>0</v>
      </c>
      <c r="I98" s="1084">
        <f t="shared" si="33"/>
        <v>1747.5125235688029</v>
      </c>
      <c r="J98" s="1075">
        <f t="shared" si="33"/>
        <v>1747.5125235688029</v>
      </c>
      <c r="K98" s="1081">
        <f t="shared" si="33"/>
        <v>2324.5018785353204</v>
      </c>
      <c r="L98" s="1084">
        <f t="shared" si="33"/>
        <v>0</v>
      </c>
      <c r="M98" s="1075">
        <f t="shared" si="33"/>
        <v>4072.0144021041233</v>
      </c>
      <c r="N98" s="1081">
        <f t="shared" si="33"/>
        <v>1166.2885952471252</v>
      </c>
      <c r="O98" s="1084">
        <f t="shared" si="33"/>
        <v>0</v>
      </c>
      <c r="P98" s="1075">
        <f t="shared" si="33"/>
        <v>5238.3029973512439</v>
      </c>
      <c r="Q98" s="1081">
        <f t="shared" si="33"/>
        <v>-100.37957592471048</v>
      </c>
      <c r="R98" s="1084">
        <f t="shared" si="33"/>
        <v>0</v>
      </c>
      <c r="S98" s="1075">
        <f t="shared" si="33"/>
        <v>5137.9234214265289</v>
      </c>
      <c r="T98" s="1081">
        <f t="shared" si="33"/>
        <v>-1639.0493602735419</v>
      </c>
      <c r="U98" s="1084">
        <f t="shared" si="33"/>
        <v>0</v>
      </c>
      <c r="V98" s="1075">
        <f t="shared" si="33"/>
        <v>3498.8740611529902</v>
      </c>
      <c r="W98" s="1081">
        <f t="shared" si="33"/>
        <v>-3498.8740611529875</v>
      </c>
      <c r="X98" s="1084">
        <f t="shared" si="33"/>
        <v>0</v>
      </c>
      <c r="Y98" s="1075">
        <f t="shared" si="33"/>
        <v>0</v>
      </c>
    </row>
    <row r="99" spans="1:25" s="15" customFormat="1" ht="15" thickBot="1" x14ac:dyDescent="0.35">
      <c r="A99" s="3"/>
      <c r="B99" s="562" t="s">
        <v>157</v>
      </c>
      <c r="C99" s="320" t="s">
        <v>508</v>
      </c>
      <c r="D99" s="542" t="s">
        <v>407</v>
      </c>
      <c r="E99" s="968" t="s">
        <v>874</v>
      </c>
      <c r="F99" s="556" t="s">
        <v>410</v>
      </c>
      <c r="G99" s="1076">
        <f t="shared" ref="G99:Y99" si="34" xml:space="preserve"> G84 - G69</f>
        <v>0</v>
      </c>
      <c r="H99" s="1082">
        <f t="shared" si="34"/>
        <v>0</v>
      </c>
      <c r="I99" s="1085">
        <f t="shared" si="34"/>
        <v>216.47362592028139</v>
      </c>
      <c r="J99" s="1076">
        <f t="shared" si="34"/>
        <v>216.47362592028139</v>
      </c>
      <c r="K99" s="1082">
        <f t="shared" si="34"/>
        <v>58.414736259202812</v>
      </c>
      <c r="L99" s="1085">
        <f t="shared" si="34"/>
        <v>0</v>
      </c>
      <c r="M99" s="1076">
        <f t="shared" si="34"/>
        <v>274.88836217948449</v>
      </c>
      <c r="N99" s="1082">
        <f t="shared" si="34"/>
        <v>10.445876772479837</v>
      </c>
      <c r="O99" s="1085">
        <f t="shared" si="34"/>
        <v>0</v>
      </c>
      <c r="P99" s="1076">
        <f t="shared" si="34"/>
        <v>285.33423895196438</v>
      </c>
      <c r="Q99" s="1082">
        <f t="shared" si="34"/>
        <v>-34.039757240617305</v>
      </c>
      <c r="R99" s="1085">
        <f t="shared" si="34"/>
        <v>0</v>
      </c>
      <c r="S99" s="1076">
        <f t="shared" si="34"/>
        <v>251.29448171134754</v>
      </c>
      <c r="T99" s="1082">
        <f t="shared" si="34"/>
        <v>-90.628773961270127</v>
      </c>
      <c r="U99" s="1085">
        <f t="shared" si="34"/>
        <v>0</v>
      </c>
      <c r="V99" s="1076">
        <f t="shared" si="34"/>
        <v>160.66570775007676</v>
      </c>
      <c r="W99" s="1082">
        <f t="shared" si="34"/>
        <v>-160.66570775008148</v>
      </c>
      <c r="X99" s="1085">
        <f t="shared" si="34"/>
        <v>0</v>
      </c>
      <c r="Y99" s="1076">
        <f t="shared" si="34"/>
        <v>0</v>
      </c>
    </row>
    <row r="100" spans="1:25" s="15" customFormat="1" ht="15" thickTop="1" x14ac:dyDescent="0.3">
      <c r="A100" s="3"/>
      <c r="B100" s="563" t="s">
        <v>158</v>
      </c>
      <c r="C100" s="321" t="s">
        <v>509</v>
      </c>
      <c r="D100" s="543" t="s">
        <v>408</v>
      </c>
      <c r="E100" s="969" t="s">
        <v>875</v>
      </c>
      <c r="F100" s="557" t="s">
        <v>411</v>
      </c>
      <c r="G100" s="1077">
        <f t="shared" ref="G100:Y100" si="35" xml:space="preserve"> G85 - G70</f>
        <v>0</v>
      </c>
      <c r="H100" s="1083">
        <f t="shared" si="35"/>
        <v>0</v>
      </c>
      <c r="I100" s="1086">
        <f t="shared" si="35"/>
        <v>173.88402163410137</v>
      </c>
      <c r="J100" s="1077">
        <f t="shared" si="35"/>
        <v>173.88402163410137</v>
      </c>
      <c r="K100" s="1083">
        <f t="shared" si="35"/>
        <v>-57.391739675488481</v>
      </c>
      <c r="L100" s="1086">
        <f t="shared" si="35"/>
        <v>0</v>
      </c>
      <c r="M100" s="1077">
        <f t="shared" si="35"/>
        <v>116.49228195861178</v>
      </c>
      <c r="N100" s="1083">
        <f t="shared" si="35"/>
        <v>-46.252615770620821</v>
      </c>
      <c r="O100" s="1086">
        <f t="shared" si="35"/>
        <v>0</v>
      </c>
      <c r="P100" s="1077">
        <f t="shared" si="35"/>
        <v>70.239666187991133</v>
      </c>
      <c r="Q100" s="1083">
        <f t="shared" si="35"/>
        <v>-34.946405007180132</v>
      </c>
      <c r="R100" s="1086">
        <f t="shared" si="35"/>
        <v>0</v>
      </c>
      <c r="S100" s="1077">
        <f t="shared" si="35"/>
        <v>35.293261180810077</v>
      </c>
      <c r="T100" s="1083">
        <f t="shared" si="35"/>
        <v>-23.470601082287857</v>
      </c>
      <c r="U100" s="1086">
        <f t="shared" si="35"/>
        <v>0</v>
      </c>
      <c r="V100" s="1077">
        <f t="shared" si="35"/>
        <v>11.822660098522192</v>
      </c>
      <c r="W100" s="1083">
        <f t="shared" si="35"/>
        <v>-11.822660098522171</v>
      </c>
      <c r="X100" s="1086">
        <f t="shared" si="35"/>
        <v>0</v>
      </c>
      <c r="Y100" s="1077">
        <f t="shared" si="35"/>
        <v>0</v>
      </c>
    </row>
    <row r="101" spans="1:25" s="15" customFormat="1" ht="15" thickBot="1" x14ac:dyDescent="0.35">
      <c r="A101" s="3"/>
      <c r="B101" s="564" t="s">
        <v>159</v>
      </c>
      <c r="C101" s="319" t="s">
        <v>510</v>
      </c>
      <c r="D101" s="544" t="s">
        <v>409</v>
      </c>
      <c r="E101" s="970" t="s">
        <v>876</v>
      </c>
      <c r="F101" s="558" t="s">
        <v>412</v>
      </c>
      <c r="G101" s="1078">
        <f t="shared" ref="G101:Y101" si="36" xml:space="preserve"> G86 - G71</f>
        <v>0</v>
      </c>
      <c r="H101" s="1080">
        <f t="shared" si="36"/>
        <v>0</v>
      </c>
      <c r="I101" s="1087">
        <f t="shared" si="36"/>
        <v>1790.1021278549815</v>
      </c>
      <c r="J101" s="1078">
        <f t="shared" si="36"/>
        <v>1790.1021278549815</v>
      </c>
      <c r="K101" s="1080">
        <f t="shared" si="36"/>
        <v>2440.3083544700121</v>
      </c>
      <c r="L101" s="1087">
        <f t="shared" si="36"/>
        <v>0</v>
      </c>
      <c r="M101" s="1078">
        <f t="shared" si="36"/>
        <v>4230.4104823249909</v>
      </c>
      <c r="N101" s="1080">
        <f t="shared" si="36"/>
        <v>1222.9870877902258</v>
      </c>
      <c r="O101" s="1087">
        <f t="shared" si="36"/>
        <v>0</v>
      </c>
      <c r="P101" s="1078">
        <f t="shared" si="36"/>
        <v>5453.3975701152176</v>
      </c>
      <c r="Q101" s="1080">
        <f t="shared" si="36"/>
        <v>-99.472928158147624</v>
      </c>
      <c r="R101" s="1087">
        <f t="shared" si="36"/>
        <v>0</v>
      </c>
      <c r="S101" s="1078">
        <f t="shared" si="36"/>
        <v>5353.9246419570682</v>
      </c>
      <c r="T101" s="1080">
        <f t="shared" si="36"/>
        <v>-1706.2075331525243</v>
      </c>
      <c r="U101" s="1087">
        <f t="shared" si="36"/>
        <v>0</v>
      </c>
      <c r="V101" s="1078">
        <f t="shared" si="36"/>
        <v>3647.717108804547</v>
      </c>
      <c r="W101" s="1080">
        <f t="shared" si="36"/>
        <v>-3647.7171088045457</v>
      </c>
      <c r="X101" s="1087">
        <f t="shared" si="36"/>
        <v>0</v>
      </c>
      <c r="Y101" s="1078">
        <f t="shared" si="36"/>
        <v>0</v>
      </c>
    </row>
    <row r="102" spans="1:25" ht="13.8" thickBot="1" x14ac:dyDescent="0.35"/>
    <row r="103" spans="1:25" s="552" customFormat="1" ht="16.8" thickBot="1" x14ac:dyDescent="0.35">
      <c r="A103" s="551"/>
      <c r="B103" s="550" t="s">
        <v>107</v>
      </c>
      <c r="C103" s="551"/>
      <c r="D103" s="549"/>
      <c r="E103" s="550"/>
      <c r="F103" s="550"/>
    </row>
    <row r="104" spans="1:25" s="8" customFormat="1" ht="17.399999999999999" thickBot="1" x14ac:dyDescent="0.35">
      <c r="A104" s="7"/>
      <c r="B104" s="7"/>
      <c r="C104" s="379" t="s">
        <v>499</v>
      </c>
      <c r="D104" s="101"/>
      <c r="E104" s="330"/>
      <c r="F104" s="192"/>
      <c r="G104" s="996" t="s">
        <v>374</v>
      </c>
      <c r="H104" s="1017" t="s">
        <v>530</v>
      </c>
      <c r="I104" s="1036" t="s">
        <v>531</v>
      </c>
      <c r="J104" s="996" t="s">
        <v>96</v>
      </c>
      <c r="K104" s="1017" t="s">
        <v>532</v>
      </c>
      <c r="L104" s="1036" t="s">
        <v>533</v>
      </c>
      <c r="M104" s="996" t="s">
        <v>99</v>
      </c>
      <c r="N104" s="1017" t="s">
        <v>534</v>
      </c>
      <c r="O104" s="1036" t="s">
        <v>535</v>
      </c>
      <c r="P104" s="996" t="s">
        <v>101</v>
      </c>
      <c r="Q104" s="1017" t="s">
        <v>536</v>
      </c>
      <c r="R104" s="1036" t="s">
        <v>537</v>
      </c>
      <c r="S104" s="996" t="s">
        <v>101</v>
      </c>
      <c r="T104" s="1017" t="s">
        <v>538</v>
      </c>
      <c r="U104" s="1036" t="s">
        <v>539</v>
      </c>
      <c r="V104" s="996" t="s">
        <v>104</v>
      </c>
      <c r="W104" s="1017" t="s">
        <v>540</v>
      </c>
      <c r="X104" s="1036" t="s">
        <v>541</v>
      </c>
      <c r="Y104" s="996" t="s">
        <v>106</v>
      </c>
    </row>
    <row r="105" spans="1:25" s="26" customFormat="1" ht="15" thickBot="1" x14ac:dyDescent="0.35">
      <c r="A105" s="565" t="s">
        <v>40</v>
      </c>
      <c r="B105" s="46"/>
      <c r="C105" s="322" t="s">
        <v>511</v>
      </c>
      <c r="D105" s="545" t="s">
        <v>413</v>
      </c>
      <c r="E105" s="971" t="s">
        <v>877</v>
      </c>
      <c r="F105" s="553" t="s">
        <v>415</v>
      </c>
      <c r="G105" s="1091">
        <f xml:space="preserve"> SUM( G98:G99 )</f>
        <v>0</v>
      </c>
      <c r="H105" s="1088">
        <f xml:space="preserve"> SUM( H98:H99 )</f>
        <v>0</v>
      </c>
      <c r="I105" s="1090">
        <f xml:space="preserve"> SUM( I98:I99 )</f>
        <v>1963.9861494890843</v>
      </c>
      <c r="J105" s="1091">
        <f xml:space="preserve"> SUM( J98:J99 )</f>
        <v>1963.9861494890843</v>
      </c>
      <c r="K105" s="1088">
        <f t="shared" ref="K105:X105" si="37" xml:space="preserve"> SUM( K98:K99 )</f>
        <v>2382.9166147945234</v>
      </c>
      <c r="L105" s="1090">
        <f t="shared" si="37"/>
        <v>0</v>
      </c>
      <c r="M105" s="1091">
        <f t="shared" si="37"/>
        <v>4346.9027642836081</v>
      </c>
      <c r="N105" s="1088">
        <f t="shared" si="37"/>
        <v>1176.7344720196049</v>
      </c>
      <c r="O105" s="1090">
        <f t="shared" si="37"/>
        <v>0</v>
      </c>
      <c r="P105" s="1091">
        <f t="shared" si="37"/>
        <v>5523.6372363032078</v>
      </c>
      <c r="Q105" s="1088">
        <f t="shared" si="37"/>
        <v>-134.41933316532777</v>
      </c>
      <c r="R105" s="1090">
        <f t="shared" si="37"/>
        <v>0</v>
      </c>
      <c r="S105" s="1091">
        <f t="shared" si="37"/>
        <v>5389.2179031378764</v>
      </c>
      <c r="T105" s="1088">
        <f t="shared" si="37"/>
        <v>-1729.678134234812</v>
      </c>
      <c r="U105" s="1090">
        <f t="shared" si="37"/>
        <v>0</v>
      </c>
      <c r="V105" s="1091">
        <f t="shared" si="37"/>
        <v>3659.5397689030669</v>
      </c>
      <c r="W105" s="1088">
        <f t="shared" si="37"/>
        <v>-3659.5397689030688</v>
      </c>
      <c r="X105" s="1090">
        <f t="shared" si="37"/>
        <v>0</v>
      </c>
      <c r="Y105" s="1091">
        <f xml:space="preserve"> SUM( Y98:Y99 )</f>
        <v>0</v>
      </c>
    </row>
    <row r="106" spans="1:25" s="26" customFormat="1" ht="15.6" thickTop="1" thickBot="1" x14ac:dyDescent="0.35">
      <c r="A106" s="566" t="s">
        <v>41</v>
      </c>
      <c r="B106" s="46"/>
      <c r="C106" s="321" t="s">
        <v>512</v>
      </c>
      <c r="D106" s="546" t="s">
        <v>413</v>
      </c>
      <c r="E106" s="972" t="s">
        <v>878</v>
      </c>
      <c r="F106" s="554" t="s">
        <v>414</v>
      </c>
      <c r="G106" s="1092">
        <f xml:space="preserve"> SUM( G100:G101 )</f>
        <v>0</v>
      </c>
      <c r="H106" s="1089">
        <f xml:space="preserve"> SUM( H100:H101 )</f>
        <v>0</v>
      </c>
      <c r="I106" s="1086">
        <f xml:space="preserve"> SUM( I100:I101 )</f>
        <v>1963.9861494890829</v>
      </c>
      <c r="J106" s="1092">
        <f xml:space="preserve"> SUM( J100:J101 )</f>
        <v>1963.9861494890829</v>
      </c>
      <c r="K106" s="1089">
        <f t="shared" ref="K106:Y106" si="38" xml:space="preserve"> SUM( K100:K101 )</f>
        <v>2382.9166147945234</v>
      </c>
      <c r="L106" s="1086">
        <f t="shared" si="38"/>
        <v>0</v>
      </c>
      <c r="M106" s="1092">
        <f t="shared" si="38"/>
        <v>4346.9027642836027</v>
      </c>
      <c r="N106" s="1089">
        <f t="shared" si="38"/>
        <v>1176.7344720196049</v>
      </c>
      <c r="O106" s="1086">
        <f t="shared" si="38"/>
        <v>0</v>
      </c>
      <c r="P106" s="1092">
        <f t="shared" si="38"/>
        <v>5523.6372363032087</v>
      </c>
      <c r="Q106" s="1089">
        <f t="shared" si="38"/>
        <v>-134.41933316532777</v>
      </c>
      <c r="R106" s="1086">
        <f t="shared" si="38"/>
        <v>0</v>
      </c>
      <c r="S106" s="1092">
        <f t="shared" si="38"/>
        <v>5389.2179031378782</v>
      </c>
      <c r="T106" s="1089">
        <f t="shared" si="38"/>
        <v>-1729.6781342348122</v>
      </c>
      <c r="U106" s="1086">
        <f t="shared" si="38"/>
        <v>0</v>
      </c>
      <c r="V106" s="1092">
        <f t="shared" si="38"/>
        <v>3659.5397689030692</v>
      </c>
      <c r="W106" s="1089">
        <f t="shared" si="38"/>
        <v>-3659.5397689030679</v>
      </c>
      <c r="X106" s="1086">
        <f t="shared" si="38"/>
        <v>0</v>
      </c>
      <c r="Y106" s="1092">
        <f t="shared" si="38"/>
        <v>0</v>
      </c>
    </row>
  </sheetData>
  <phoneticPr fontId="55" type="noConversion"/>
  <pageMargins left="0.7" right="0.7" top="0.75" bottom="0.75" header="0.3" footer="0.3"/>
  <pageSetup paperSize="9" orientation="portrait" r:id="rId1"/>
  <ignoredErrors>
    <ignoredError sqref="H14:Z23" formula="1"/>
    <ignoredError sqref="Y90:Y91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91AEA-B334-4CD6-8BF3-23B13F1DC2E9}">
  <sheetPr codeName="Sheet5"/>
  <dimension ref="C1:M45"/>
  <sheetViews>
    <sheetView zoomScaleNormal="100" workbookViewId="0">
      <pane xSplit="6" ySplit="3" topLeftCell="G13" activePane="bottomRight" state="frozen"/>
      <selection activeCell="K6" sqref="K6"/>
      <selection pane="topRight" activeCell="K6" sqref="K6"/>
      <selection pane="bottomLeft" activeCell="K6" sqref="K6"/>
      <selection pane="bottomRight" activeCell="N19" sqref="N19"/>
    </sheetView>
  </sheetViews>
  <sheetFormatPr defaultColWidth="9.109375" defaultRowHeight="13.2" x14ac:dyDescent="0.3"/>
  <cols>
    <col min="1" max="3" width="3.5546875" style="3" customWidth="1"/>
    <col min="4" max="6" width="8.5546875" style="3" customWidth="1"/>
    <col min="7" max="7" width="3.5546875" style="3" customWidth="1"/>
    <col min="8" max="8" width="10.109375" style="3" customWidth="1"/>
    <col min="9" max="9" width="34.44140625" style="3" customWidth="1"/>
    <col min="10" max="10" width="33.5546875" style="3" customWidth="1"/>
    <col min="11" max="11" width="38.109375" style="3" customWidth="1"/>
    <col min="12" max="12" width="31.44140625" style="3" customWidth="1"/>
    <col min="13" max="13" width="7.88671875" style="3" customWidth="1"/>
    <col min="14" max="16384" width="9.109375" style="3"/>
  </cols>
  <sheetData>
    <row r="1" spans="3:13" ht="37.5" customHeight="1" thickBot="1" x14ac:dyDescent="0.35"/>
    <row r="2" spans="3:13" s="519" customFormat="1" ht="31.2" thickTop="1" thickBot="1" x14ac:dyDescent="0.35">
      <c r="D2" s="520" t="s">
        <v>169</v>
      </c>
      <c r="E2" s="521">
        <v>4</v>
      </c>
      <c r="H2" s="519" t="s">
        <v>168</v>
      </c>
    </row>
    <row r="3" spans="3:13" ht="13.8" thickTop="1" x14ac:dyDescent="0.3"/>
    <row r="4" spans="3:13" x14ac:dyDescent="0.3">
      <c r="I4" s="1153" t="str">
        <f xml:space="preserve"> "C" &amp; ($E$2-1)</f>
        <v>C3</v>
      </c>
      <c r="J4" s="1153" t="str">
        <f xml:space="preserve"> "+I" &amp; $E$2</f>
        <v>+I4</v>
      </c>
      <c r="K4" s="1154" t="str">
        <f xml:space="preserve"> "–F" &amp; $E$2</f>
        <v>–F4</v>
      </c>
      <c r="L4" s="1155" t="str">
        <f xml:space="preserve"> "C" &amp; $E$2</f>
        <v>C4</v>
      </c>
    </row>
    <row r="5" spans="3:13" s="38" customFormat="1" ht="8.4" customHeight="1" thickBot="1" x14ac:dyDescent="0.35">
      <c r="H5" s="1116"/>
      <c r="I5" s="1115"/>
      <c r="J5" s="1115"/>
      <c r="K5" s="1115"/>
      <c r="L5" s="1115"/>
    </row>
    <row r="6" spans="3:13" ht="16.8" customHeight="1" thickBot="1" x14ac:dyDescent="0.35">
      <c r="D6" s="511" t="s">
        <v>1</v>
      </c>
      <c r="I6" s="996" t="str">
        <f xml:space="preserve"> "Balance Sheet (Year " &amp; E2-1 &amp; ")"</f>
        <v>Balance Sheet (Year 3)</v>
      </c>
      <c r="J6" s="1017" t="str">
        <f xml:space="preserve"> "+ Income Statement (Year " &amp; E2 &amp; ")"</f>
        <v>+ Income Statement (Year 4)</v>
      </c>
      <c r="K6" s="1036" t="str">
        <f xml:space="preserve"> "– Cash Flow Statement (Year " &amp; E2 &amp; ")"</f>
        <v>– Cash Flow Statement (Year 4)</v>
      </c>
      <c r="L6" s="518" t="str">
        <f xml:space="preserve"> "Balance Sheet (Year " &amp; E2 &amp; ")"</f>
        <v>Balance Sheet (Year 4)</v>
      </c>
    </row>
    <row r="7" spans="3:13" ht="16.8" customHeight="1" x14ac:dyDescent="0.3">
      <c r="C7" s="128"/>
      <c r="D7" s="512" t="s">
        <v>10</v>
      </c>
      <c r="E7" s="128"/>
      <c r="F7" s="128"/>
      <c r="G7" s="128"/>
      <c r="I7" s="997">
        <f xml:space="preserve"> INDEX( SplitScreenStrip!$13:$23, MATCH( $D7, SplitScreenStrip!$D$13:$D$23, 0 ), MATCH( I$4, SplitScreenStrip!$12:$12, 0 ) )</f>
        <v>5967.1232876712329</v>
      </c>
      <c r="J7" s="1018">
        <f xml:space="preserve"> INDEX( SplitScreenStrip!$13:$23, MATCH( $D7, SplitScreenStrip!$D$13:$D$23, 0 ), MATCH( J$4, SplitScreenStrip!$12:$12, 0 ) )</f>
        <v>79860</v>
      </c>
      <c r="K7" s="1007">
        <f xml:space="preserve"> INDEX( SplitScreenStrip!$13:$23, MATCH( $D7, SplitScreenStrip!$D$13:$D$23, 0 ), MATCH( K$4, SplitScreenStrip!$12:$12, 0 ) )</f>
        <v>-79263.287671232873</v>
      </c>
      <c r="L7" s="1093">
        <f xml:space="preserve"> I7 + J7 + K7</f>
        <v>6563.8356164383586</v>
      </c>
      <c r="M7" s="58" t="b">
        <f xml:space="preserve"> L7 = SUM(I7:K7)</f>
        <v>1</v>
      </c>
    </row>
    <row r="8" spans="3:13" ht="16.8" customHeight="1" x14ac:dyDescent="0.3">
      <c r="D8" s="513" t="s">
        <v>12</v>
      </c>
      <c r="I8" s="998">
        <f xml:space="preserve"> INDEX( SplitScreenStrip!$13:$23, MATCH( $D8, SplitScreenStrip!$D$13:$D$23, 0 ), MATCH( I$4, SplitScreenStrip!$12:$12, 0 ) )</f>
        <v>4991.25</v>
      </c>
      <c r="J8" s="1019">
        <f xml:space="preserve"> INDEX( SplitScreenStrip!$13:$23, MATCH( $D8, SplitScreenStrip!$D$13:$D$23, 0 ), MATCH( J$4, SplitScreenStrip!$12:$12, 0 ) )</f>
        <v>499.375</v>
      </c>
      <c r="K8" s="1008">
        <f xml:space="preserve"> INDEX( SplitScreenStrip!$13:$23, MATCH( $D8, SplitScreenStrip!$D$13:$D$23, 0 ), MATCH( K$4, SplitScreenStrip!$12:$12, 0 ) )</f>
        <v>0</v>
      </c>
      <c r="L8" s="1094">
        <f xml:space="preserve"> I8 + J8 + K8</f>
        <v>5490.625</v>
      </c>
      <c r="M8" s="58" t="b">
        <f t="shared" ref="M8:M17" si="0" xml:space="preserve"> L8 = SUM(I8:K8)</f>
        <v>1</v>
      </c>
    </row>
    <row r="9" spans="3:13" ht="16.8" customHeight="1" x14ac:dyDescent="0.3">
      <c r="D9" s="513" t="s">
        <v>172</v>
      </c>
      <c r="I9" s="999">
        <f xml:space="preserve"> INDEX( SplitScreenStrip!$13:$23, MATCH( $D9, SplitScreenStrip!$D$13:$D$23, 0 ), MATCH( I$4, SplitScreenStrip!$12:$12, 0 ) )</f>
        <v>-4587.2260273972606</v>
      </c>
      <c r="J9" s="1020">
        <f xml:space="preserve"> INDEX( SplitScreenStrip!$13:$23, MATCH( $D9, SplitScreenStrip!$D$13:$D$23, 0 ), MATCH( J$4, SplitScreenStrip!$12:$12, 0 ) )</f>
        <v>-20464.375</v>
      </c>
      <c r="K9" s="1009">
        <f xml:space="preserve"> INDEX( SplitScreenStrip!$13:$23, MATCH( $D9, SplitScreenStrip!$D$13:$D$23, 0 ), MATCH( K$4, SplitScreenStrip!$12:$12, 0 ) )</f>
        <v>20005.590753424658</v>
      </c>
      <c r="L9" s="1095">
        <f t="shared" ref="L9:L17" si="1" xml:space="preserve"> I9 + J9 + K9</f>
        <v>-5046.0102739726026</v>
      </c>
      <c r="M9" s="58" t="b">
        <f t="shared" si="0"/>
        <v>1</v>
      </c>
    </row>
    <row r="10" spans="3:13" ht="16.8" customHeight="1" x14ac:dyDescent="0.3">
      <c r="D10" s="513" t="s">
        <v>173</v>
      </c>
      <c r="I10" s="1000">
        <f xml:space="preserve"> INDEX( SplitScreenStrip!$13:$23, MATCH( $D10, SplitScreenStrip!$D$13:$D$23, 0 ), MATCH( I$4, SplitScreenStrip!$12:$12, 0 ) )</f>
        <v>-2685.205479452055</v>
      </c>
      <c r="J10" s="1021">
        <f xml:space="preserve"> INDEX( SplitScreenStrip!$13:$23, MATCH( $D10, SplitScreenStrip!$D$13:$D$23, 0 ), MATCH( J$4, SplitScreenStrip!$12:$12, 0 ) )</f>
        <v>-11979</v>
      </c>
      <c r="K10" s="1010">
        <f xml:space="preserve"> INDEX( SplitScreenStrip!$13:$23, MATCH( $D10, SplitScreenStrip!$D$13:$D$23, 0 ), MATCH( K$4, SplitScreenStrip!$12:$12, 0 ) )</f>
        <v>11710.479452054795</v>
      </c>
      <c r="L10" s="1096">
        <f t="shared" si="1"/>
        <v>-2953.7260273972606</v>
      </c>
      <c r="M10" s="58" t="b">
        <f t="shared" si="0"/>
        <v>1</v>
      </c>
    </row>
    <row r="11" spans="3:13" ht="16.8" customHeight="1" x14ac:dyDescent="0.3">
      <c r="D11" s="513" t="s">
        <v>174</v>
      </c>
      <c r="I11" s="1001">
        <f xml:space="preserve"> INDEX( SplitScreenStrip!$13:$23, MATCH( $D11, SplitScreenStrip!$D$13:$D$23, 0 ), MATCH( I$4, SplitScreenStrip!$12:$12, 0 ) )</f>
        <v>0</v>
      </c>
      <c r="J11" s="1022">
        <f xml:space="preserve"> INDEX( SplitScreenStrip!$13:$23, MATCH( $D11, SplitScreenStrip!$D$13:$D$23, 0 ), MATCH( J$4, SplitScreenStrip!$12:$12, 0 ) )</f>
        <v>-31944</v>
      </c>
      <c r="K11" s="1011">
        <f xml:space="preserve"> INDEX( SplitScreenStrip!$13:$23, MATCH( $D11, SplitScreenStrip!$D$13:$D$23, 0 ), MATCH( K$4, SplitScreenStrip!$12:$12, 0 ) )</f>
        <v>31944</v>
      </c>
      <c r="L11" s="1097">
        <f t="shared" si="1"/>
        <v>0</v>
      </c>
      <c r="M11" s="58" t="b">
        <f t="shared" si="0"/>
        <v>1</v>
      </c>
    </row>
    <row r="12" spans="3:13" ht="16.8" customHeight="1" x14ac:dyDescent="0.3">
      <c r="D12" s="513" t="s">
        <v>175</v>
      </c>
      <c r="I12" s="1002">
        <f xml:space="preserve"> INDEX( SplitScreenStrip!$13:$23, MATCH( $D12, SplitScreenStrip!$D$13:$D$23, 0 ), MATCH( I$4, SplitScreenStrip!$12:$12, 0 ) )</f>
        <v>0</v>
      </c>
      <c r="J12" s="1023">
        <f xml:space="preserve"> INDEX( SplitScreenStrip!$13:$23, MATCH( $D12, SplitScreenStrip!$D$13:$D$23, 0 ), MATCH( J$4, SplitScreenStrip!$12:$12, 0 ) )</f>
        <v>-6000</v>
      </c>
      <c r="K12" s="1012">
        <f xml:space="preserve"> INDEX( SplitScreenStrip!$13:$23, MATCH( $D12, SplitScreenStrip!$D$13:$D$23, 0 ), MATCH( K$4, SplitScreenStrip!$12:$12, 0 ) )</f>
        <v>6000</v>
      </c>
      <c r="L12" s="1098">
        <f t="shared" si="1"/>
        <v>0</v>
      </c>
      <c r="M12" s="58" t="b">
        <f t="shared" si="0"/>
        <v>1</v>
      </c>
    </row>
    <row r="13" spans="3:13" ht="16.8" customHeight="1" x14ac:dyDescent="0.3">
      <c r="D13" s="513" t="s">
        <v>14</v>
      </c>
      <c r="I13" s="1035">
        <f xml:space="preserve"> INDEX( SplitScreenStrip!$13:$23, MATCH( $D13, SplitScreenStrip!$D$13:$D$23, 0 ), MATCH( I$4, SplitScreenStrip!$12:$12, 0 ) )</f>
        <v>8000</v>
      </c>
      <c r="J13" s="1024">
        <f xml:space="preserve"> INDEX( SplitScreenStrip!$13:$23, MATCH( $D13, SplitScreenStrip!$D$13:$D$23, 0 ), MATCH( J$4, SplitScreenStrip!$12:$12, 0 ) )</f>
        <v>-4000</v>
      </c>
      <c r="K13" s="1034">
        <f xml:space="preserve"> INDEX( SplitScreenStrip!$13:$23, MATCH( $D13, SplitScreenStrip!$D$13:$D$23, 0 ), MATCH( K$4, SplitScreenStrip!$12:$12, 0 ) )</f>
        <v>0</v>
      </c>
      <c r="L13" s="1099">
        <f t="shared" si="1"/>
        <v>4000</v>
      </c>
      <c r="M13" s="58" t="b">
        <f t="shared" si="0"/>
        <v>1</v>
      </c>
    </row>
    <row r="14" spans="3:13" ht="16.8" customHeight="1" x14ac:dyDescent="0.3">
      <c r="D14" s="514" t="s">
        <v>16</v>
      </c>
      <c r="I14" s="1003">
        <f xml:space="preserve"> INDEX( SplitScreenStrip!$13:$23, MATCH( $D14, SplitScreenStrip!$D$13:$D$23, 0 ), MATCH( I$4, SplitScreenStrip!$12:$12, 0 ) )</f>
        <v>0</v>
      </c>
      <c r="J14" s="1025">
        <f xml:space="preserve"> INDEX( SplitScreenStrip!$13:$23, MATCH( $D14, SplitScreenStrip!$D$13:$D$23, 0 ), MATCH( J$4, SplitScreenStrip!$12:$12, 0 ) )</f>
        <v>-1809.3708593891918</v>
      </c>
      <c r="K14" s="1013">
        <f xml:space="preserve"> INDEX( SplitScreenStrip!$13:$23, MATCH( $D14, SplitScreenStrip!$D$13:$D$23, 0 ), MATCH( K$4, SplitScreenStrip!$12:$12, 0 ) )</f>
        <v>1809.3708593891918</v>
      </c>
      <c r="L14" s="1100">
        <f t="shared" si="1"/>
        <v>0</v>
      </c>
      <c r="M14" s="58" t="b">
        <f t="shared" si="0"/>
        <v>1</v>
      </c>
    </row>
    <row r="15" spans="3:13" ht="16.8" customHeight="1" thickBot="1" x14ac:dyDescent="0.35">
      <c r="D15" s="515" t="s">
        <v>18</v>
      </c>
      <c r="I15" s="1004">
        <f xml:space="preserve"> INDEX( SplitScreenStrip!$13:$23, MATCH( $D15, SplitScreenStrip!$D$13:$D$23, 0 ), MATCH( I$4, SplitScreenStrip!$12:$12, 0 ) )</f>
        <v>6209.4479185589062</v>
      </c>
      <c r="J15" s="1026">
        <f xml:space="preserve"> INDEX( SplitScreenStrip!$13:$23, MATCH( $D15, SplitScreenStrip!$D$13:$D$23, 0 ), MATCH( J$4, SplitScreenStrip!$12:$12, 0 ) )</f>
        <v>155.23619796397267</v>
      </c>
      <c r="K15" s="1014">
        <f xml:space="preserve"> INDEX( SplitScreenStrip!$13:$23, MATCH( $D15, SplitScreenStrip!$D$13:$D$23, 0 ), MATCH( K$4, SplitScreenStrip!$12:$12, 0 ) )</f>
        <v>4453.4735386492721</v>
      </c>
      <c r="L15" s="1101">
        <f t="shared" si="1"/>
        <v>10818.157655172152</v>
      </c>
      <c r="M15" s="58" t="b">
        <f t="shared" si="0"/>
        <v>1</v>
      </c>
    </row>
    <row r="16" spans="3:13" ht="16.8" customHeight="1" thickTop="1" x14ac:dyDescent="0.3">
      <c r="D16" s="516" t="s">
        <v>19</v>
      </c>
      <c r="I16" s="1005">
        <f xml:space="preserve"> INDEX( SplitScreenStrip!$13:$23, MATCH( $D16, SplitScreenStrip!$D$13:$D$23, 0 ), MATCH( I$4, SplitScreenStrip!$12:$12, 0 ) )</f>
        <v>4800</v>
      </c>
      <c r="J16" s="1027">
        <f xml:space="preserve"> INDEX( SplitScreenStrip!$13:$23, MATCH( $D16, SplitScreenStrip!$D$13:$D$23, 0 ), MATCH( J$4, SplitScreenStrip!$12:$12, 0 ) )</f>
        <v>96</v>
      </c>
      <c r="K16" s="1015">
        <f xml:space="preserve"> INDEX( SplitScreenStrip!$13:$23, MATCH( $D16, SplitScreenStrip!$D$13:$D$23, 0 ), MATCH( K$4, SplitScreenStrip!$12:$12, 0 ) )</f>
        <v>-2496</v>
      </c>
      <c r="L16" s="1102">
        <f t="shared" si="1"/>
        <v>2400</v>
      </c>
      <c r="M16" s="58" t="b">
        <f t="shared" si="0"/>
        <v>1</v>
      </c>
    </row>
    <row r="17" spans="4:13" ht="16.8" customHeight="1" thickBot="1" x14ac:dyDescent="0.35">
      <c r="D17" s="517" t="s">
        <v>20</v>
      </c>
      <c r="I17" s="1006">
        <f xml:space="preserve"> INDEX( SplitScreenStrip!$13:$23, MATCH( $D17, SplitScreenStrip!$D$13:$D$23, 0 ), MATCH( I$4, SplitScreenStrip!$12:$12, 0 ) )</f>
        <v>13095.389699380821</v>
      </c>
      <c r="J17" s="1028">
        <f xml:space="preserve"> INDEX( SplitScreenStrip!$13:$23, MATCH( $D17, SplitScreenStrip!$D$13:$D$23, 0 ), MATCH( J$4, SplitScreenStrip!$12:$12, 0 ) )</f>
        <v>4221.8653385747812</v>
      </c>
      <c r="K17" s="1016">
        <f xml:space="preserve"> INDEX( SplitScreenStrip!$13:$23, MATCH( $D17, SplitScreenStrip!$D$13:$D$23, 0 ), MATCH( K$4, SplitScreenStrip!$12:$12, 0 ) )</f>
        <v>-844.37306771495628</v>
      </c>
      <c r="L17" s="1103">
        <f t="shared" si="1"/>
        <v>16472.881970240644</v>
      </c>
      <c r="M17" s="58" t="b">
        <f t="shared" si="0"/>
        <v>1</v>
      </c>
    </row>
    <row r="18" spans="4:13" x14ac:dyDescent="0.3">
      <c r="I18" s="1221" t="b">
        <f xml:space="preserve"> SUM(I7:I15) = SUM(I16:I17)</f>
        <v>1</v>
      </c>
      <c r="J18" s="1221" t="b">
        <f t="shared" ref="J18:L18" si="2" xml:space="preserve"> SUM(J7:J15) = SUM(J16:J17)</f>
        <v>1</v>
      </c>
      <c r="K18" s="1221" t="b">
        <f t="shared" si="2"/>
        <v>1</v>
      </c>
      <c r="L18" s="1221" t="b">
        <f t="shared" si="2"/>
        <v>1</v>
      </c>
    </row>
    <row r="20" spans="4:13" ht="12.75" customHeight="1" x14ac:dyDescent="0.3">
      <c r="I20" s="1153" t="str">
        <f xml:space="preserve"> "F" &amp; $E$2</f>
        <v>F4</v>
      </c>
      <c r="J20" s="1153" t="str">
        <f xml:space="preserve"> "+I" &amp; $E$2</f>
        <v>+I4</v>
      </c>
      <c r="K20" s="1154" t="str">
        <f xml:space="preserve"> "C" &amp; ($E$2-1)</f>
        <v>C3</v>
      </c>
      <c r="L20" s="1155" t="str">
        <f xml:space="preserve"> "C" &amp; $E$2</f>
        <v>C4</v>
      </c>
    </row>
    <row r="21" spans="4:13" s="38" customFormat="1" ht="8.4" customHeight="1" thickBot="1" x14ac:dyDescent="0.35">
      <c r="H21" s="1116"/>
      <c r="I21" s="1115"/>
      <c r="J21" s="1115"/>
      <c r="K21" s="1115"/>
      <c r="L21" s="1115"/>
    </row>
    <row r="22" spans="4:13" ht="17.399999999999999" customHeight="1" thickBot="1" x14ac:dyDescent="0.35">
      <c r="F22" s="527" t="s">
        <v>49</v>
      </c>
      <c r="I22" s="1036" t="s">
        <v>893</v>
      </c>
      <c r="J22" s="1117" t="str">
        <f xml:space="preserve"> J6</f>
        <v>+ Income Statement (Year 4)</v>
      </c>
      <c r="K22" s="1130" t="str">
        <f xml:space="preserve"> "+ " &amp; I6</f>
        <v>+ Balance Sheet (Year 3)</v>
      </c>
      <c r="L22" s="1129" t="str">
        <f xml:space="preserve"> "–  " &amp; L6</f>
        <v>–  Balance Sheet (Year 4)</v>
      </c>
    </row>
    <row r="23" spans="4:13" ht="17.399999999999999" customHeight="1" x14ac:dyDescent="0.3">
      <c r="F23" s="522" t="s">
        <v>513</v>
      </c>
      <c r="I23" s="1104">
        <f xml:space="preserve"> J23 + K23 + L23</f>
        <v>79263.287671232873</v>
      </c>
      <c r="J23" s="1118">
        <f xml:space="preserve"> INDEX( SplitScreenStrip!$13:$23, MATCH( $F23, SplitScreenStrip!$F$13:$F$23, 0 ), MATCH( J$20, SplitScreenStrip!$12:$12, 0 ) )</f>
        <v>79860</v>
      </c>
      <c r="K23" s="1131">
        <f xml:space="preserve"> INDEX( SplitScreenStrip!$13:$23, MATCH( $F23, SplitScreenStrip!$F$13:$F$23, 0 ), MATCH( K$20, SplitScreenStrip!$12:$12, 0 ) )</f>
        <v>5967.1232876712329</v>
      </c>
      <c r="L23" s="1142">
        <f xml:space="preserve"> (-1) * INDEX( SplitScreenStrip!$13:$23, MATCH( $F23, SplitScreenStrip!$F$13:$F$23, 0 ), MATCH( L$20, SplitScreenStrip!$12:$12, 0 ) )</f>
        <v>-6563.8356164383567</v>
      </c>
      <c r="M23" s="58" t="b">
        <f>I23 = SUM(J23:L23)</f>
        <v>1</v>
      </c>
    </row>
    <row r="24" spans="4:13" ht="17.399999999999999" customHeight="1" x14ac:dyDescent="0.3">
      <c r="F24" s="523" t="s">
        <v>153</v>
      </c>
      <c r="I24" s="1105">
        <f t="shared" ref="I24:I33" si="3" xml:space="preserve"> J24 + K24 + L24</f>
        <v>0</v>
      </c>
      <c r="J24" s="1119">
        <f xml:space="preserve"> INDEX( SplitScreenStrip!$13:$23, MATCH( $F24, SplitScreenStrip!$F$13:$F$23, 0 ), MATCH( J$20, SplitScreenStrip!$12:$12, 0 ) )</f>
        <v>499.375</v>
      </c>
      <c r="K24" s="1132">
        <f xml:space="preserve"> INDEX( SplitScreenStrip!$13:$23, MATCH( $F24, SplitScreenStrip!$F$13:$F$23, 0 ), MATCH( K$20, SplitScreenStrip!$12:$12, 0 ) )</f>
        <v>4991.25</v>
      </c>
      <c r="L24" s="1143">
        <f xml:space="preserve"> (-1) * INDEX( SplitScreenStrip!$13:$23, MATCH( $F24, SplitScreenStrip!$F$13:$F$23, 0 ), MATCH( L$20, SplitScreenStrip!$12:$12, 0 ) )</f>
        <v>-5490.625</v>
      </c>
      <c r="M24" s="58" t="b">
        <f t="shared" ref="M24:M33" si="4">I24 = SUM(J24:L24)</f>
        <v>1</v>
      </c>
    </row>
    <row r="25" spans="4:13" ht="17.399999999999999" customHeight="1" x14ac:dyDescent="0.3">
      <c r="F25" s="523" t="s">
        <v>514</v>
      </c>
      <c r="I25" s="1106">
        <f t="shared" si="3"/>
        <v>-20005.590753424658</v>
      </c>
      <c r="J25" s="1120">
        <f xml:space="preserve"> INDEX( SplitScreenStrip!$13:$23, MATCH( $F25, SplitScreenStrip!$F$13:$F$23, 0 ), MATCH( J$20, SplitScreenStrip!$12:$12, 0 ) )</f>
        <v>-20464.375</v>
      </c>
      <c r="K25" s="1133">
        <f xml:space="preserve"> INDEX( SplitScreenStrip!$13:$23, MATCH( $F25, SplitScreenStrip!$F$13:$F$23, 0 ), MATCH( K$20, SplitScreenStrip!$12:$12, 0 ) )</f>
        <v>-4587.2260273972606</v>
      </c>
      <c r="L25" s="1144">
        <f xml:space="preserve"> (-1) * INDEX( SplitScreenStrip!$13:$23, MATCH( $F25, SplitScreenStrip!$F$13:$F$23, 0 ), MATCH( L$20, SplitScreenStrip!$12:$12, 0 ) )</f>
        <v>5046.0102739726026</v>
      </c>
      <c r="M25" s="58" t="b">
        <f t="shared" si="4"/>
        <v>1</v>
      </c>
    </row>
    <row r="26" spans="4:13" ht="17.399999999999999" customHeight="1" x14ac:dyDescent="0.3">
      <c r="F26" s="523" t="s">
        <v>515</v>
      </c>
      <c r="I26" s="1107">
        <f t="shared" si="3"/>
        <v>-11710.479452054795</v>
      </c>
      <c r="J26" s="1121">
        <f xml:space="preserve"> INDEX( SplitScreenStrip!$13:$23, MATCH( $F26, SplitScreenStrip!$F$13:$F$23, 0 ), MATCH( J$20, SplitScreenStrip!$12:$12, 0 ) )</f>
        <v>-11979</v>
      </c>
      <c r="K26" s="1134">
        <f xml:space="preserve"> INDEX( SplitScreenStrip!$13:$23, MATCH( $F26, SplitScreenStrip!$F$13:$F$23, 0 ), MATCH( K$20, SplitScreenStrip!$12:$12, 0 ) )</f>
        <v>-2685.205479452055</v>
      </c>
      <c r="L26" s="1145">
        <f xml:space="preserve"> (-1) * INDEX( SplitScreenStrip!$13:$23, MATCH( $F26, SplitScreenStrip!$F$13:$F$23, 0 ), MATCH( L$20, SplitScreenStrip!$12:$12, 0 ) )</f>
        <v>2953.7260273972602</v>
      </c>
      <c r="M26" s="58" t="b">
        <f t="shared" si="4"/>
        <v>1</v>
      </c>
    </row>
    <row r="27" spans="4:13" ht="17.399999999999999" customHeight="1" x14ac:dyDescent="0.3">
      <c r="F27" s="523" t="s">
        <v>516</v>
      </c>
      <c r="I27" s="1108">
        <f t="shared" si="3"/>
        <v>-31944</v>
      </c>
      <c r="J27" s="1122">
        <f xml:space="preserve"> INDEX( SplitScreenStrip!$13:$23, MATCH( $F27, SplitScreenStrip!$F$13:$F$23, 0 ), MATCH( J$20, SplitScreenStrip!$12:$12, 0 ) )</f>
        <v>-31944</v>
      </c>
      <c r="K27" s="1135">
        <f xml:space="preserve"> INDEX( SplitScreenStrip!$13:$23, MATCH( $F27, SplitScreenStrip!$F$13:$F$23, 0 ), MATCH( K$20, SplitScreenStrip!$12:$12, 0 ) )</f>
        <v>0</v>
      </c>
      <c r="L27" s="1146">
        <f xml:space="preserve"> (-1) * INDEX( SplitScreenStrip!$13:$23, MATCH( $F27, SplitScreenStrip!$F$13:$F$23, 0 ), MATCH( L$20, SplitScreenStrip!$12:$12, 0 ) )</f>
        <v>0</v>
      </c>
      <c r="M27" s="58" t="b">
        <f t="shared" si="4"/>
        <v>1</v>
      </c>
    </row>
    <row r="28" spans="4:13" ht="17.399999999999999" customHeight="1" x14ac:dyDescent="0.3">
      <c r="F28" s="523" t="s">
        <v>517</v>
      </c>
      <c r="I28" s="1109">
        <f t="shared" si="3"/>
        <v>-6000</v>
      </c>
      <c r="J28" s="1123">
        <f xml:space="preserve"> INDEX( SplitScreenStrip!$13:$23, MATCH( $F28, SplitScreenStrip!$F$13:$F$23, 0 ), MATCH( J$20, SplitScreenStrip!$12:$12, 0 ) )</f>
        <v>-6000</v>
      </c>
      <c r="K28" s="1136">
        <f xml:space="preserve"> INDEX( SplitScreenStrip!$13:$23, MATCH( $F28, SplitScreenStrip!$F$13:$F$23, 0 ), MATCH( K$20, SplitScreenStrip!$12:$12, 0 ) )</f>
        <v>0</v>
      </c>
      <c r="L28" s="1147">
        <f xml:space="preserve"> (-1) * INDEX( SplitScreenStrip!$13:$23, MATCH( $F28, SplitScreenStrip!$F$13:$F$23, 0 ), MATCH( L$20, SplitScreenStrip!$12:$12, 0 ) )</f>
        <v>0</v>
      </c>
      <c r="M28" s="58" t="b">
        <f t="shared" si="4"/>
        <v>1</v>
      </c>
    </row>
    <row r="29" spans="4:13" ht="17.399999999999999" customHeight="1" x14ac:dyDescent="0.3">
      <c r="F29" s="523" t="s">
        <v>518</v>
      </c>
      <c r="I29" s="1110">
        <f t="shared" si="3"/>
        <v>0</v>
      </c>
      <c r="J29" s="1124">
        <f xml:space="preserve"> INDEX( SplitScreenStrip!$13:$23, MATCH( $F29, SplitScreenStrip!$F$13:$F$23, 0 ), MATCH( J$20, SplitScreenStrip!$12:$12, 0 ) )</f>
        <v>-4000</v>
      </c>
      <c r="K29" s="1137">
        <f xml:space="preserve"> INDEX( SplitScreenStrip!$13:$23, MATCH( $F29, SplitScreenStrip!$F$13:$F$23, 0 ), MATCH( K$20, SplitScreenStrip!$12:$12, 0 ) )</f>
        <v>8000</v>
      </c>
      <c r="L29" s="1148">
        <f xml:space="preserve"> (-1) * INDEX( SplitScreenStrip!$13:$23, MATCH( $F29, SplitScreenStrip!$F$13:$F$23, 0 ), MATCH( L$20, SplitScreenStrip!$12:$12, 0 ) )</f>
        <v>-4000</v>
      </c>
      <c r="M29" s="58" t="b">
        <f t="shared" si="4"/>
        <v>1</v>
      </c>
    </row>
    <row r="30" spans="4:13" ht="17.399999999999999" customHeight="1" x14ac:dyDescent="0.3">
      <c r="F30" s="189" t="s">
        <v>519</v>
      </c>
      <c r="I30" s="1111">
        <f t="shared" si="3"/>
        <v>-1809.3708593891918</v>
      </c>
      <c r="J30" s="1125">
        <f xml:space="preserve"> INDEX( SplitScreenStrip!$13:$23, MATCH( $F30, SplitScreenStrip!$F$13:$F$23, 0 ), MATCH( J$20, SplitScreenStrip!$12:$12, 0 ) )</f>
        <v>-1809.3708593891918</v>
      </c>
      <c r="K30" s="1138">
        <f xml:space="preserve"> INDEX( SplitScreenStrip!$13:$23, MATCH( $F30, SplitScreenStrip!$F$13:$F$23, 0 ), MATCH( K$20, SplitScreenStrip!$12:$12, 0 ) )</f>
        <v>0</v>
      </c>
      <c r="L30" s="1149">
        <f xml:space="preserve"> (-1) * INDEX( SplitScreenStrip!$13:$23, MATCH( $F30, SplitScreenStrip!$F$13:$F$23, 0 ), MATCH( L$20, SplitScreenStrip!$12:$12, 0 ) )</f>
        <v>0</v>
      </c>
      <c r="M30" s="58" t="b">
        <f t="shared" si="4"/>
        <v>1</v>
      </c>
    </row>
    <row r="31" spans="4:13" ht="17.399999999999999" customHeight="1" thickBot="1" x14ac:dyDescent="0.35">
      <c r="F31" s="524" t="s">
        <v>210</v>
      </c>
      <c r="I31" s="1112">
        <f t="shared" si="3"/>
        <v>-4453.473538649273</v>
      </c>
      <c r="J31" s="1126">
        <f xml:space="preserve"> INDEX( SplitScreenStrip!$13:$23, MATCH( $F31, SplitScreenStrip!$F$13:$F$23, 0 ), MATCH( J$20, SplitScreenStrip!$12:$12, 0 ) )</f>
        <v>155.23619796397267</v>
      </c>
      <c r="K31" s="1139">
        <f xml:space="preserve"> INDEX( SplitScreenStrip!$13:$23, MATCH( $F31, SplitScreenStrip!$F$13:$F$23, 0 ), MATCH( K$20, SplitScreenStrip!$12:$12, 0 ) )</f>
        <v>6209.4479185589062</v>
      </c>
      <c r="L31" s="1150">
        <f xml:space="preserve"> (-1) * INDEX( SplitScreenStrip!$13:$23, MATCH( $F31, SplitScreenStrip!$F$13:$F$23, 0 ), MATCH( L$20, SplitScreenStrip!$12:$12, 0 ) )</f>
        <v>-10818.157655172152</v>
      </c>
      <c r="M31" s="58" t="b">
        <f t="shared" si="4"/>
        <v>1</v>
      </c>
    </row>
    <row r="32" spans="4:13" ht="17.399999999999999" customHeight="1" thickTop="1" x14ac:dyDescent="0.3">
      <c r="F32" s="525" t="s">
        <v>211</v>
      </c>
      <c r="I32" s="1113">
        <f t="shared" si="3"/>
        <v>2496</v>
      </c>
      <c r="J32" s="1127">
        <f xml:space="preserve"> INDEX( SplitScreenStrip!$13:$23, MATCH( $F32, SplitScreenStrip!$F$13:$F$23, 0 ), MATCH( J$20, SplitScreenStrip!$12:$12, 0 ) )</f>
        <v>96</v>
      </c>
      <c r="K32" s="1140">
        <f xml:space="preserve"> INDEX( SplitScreenStrip!$13:$23, MATCH( $F32, SplitScreenStrip!$F$13:$F$23, 0 ), MATCH( K$20, SplitScreenStrip!$12:$12, 0 ) )</f>
        <v>4800</v>
      </c>
      <c r="L32" s="1151">
        <f xml:space="preserve"> (-1) * INDEX( SplitScreenStrip!$13:$23, MATCH( $F32, SplitScreenStrip!$F$13:$F$23, 0 ), MATCH( L$20, SplitScreenStrip!$12:$12, 0 ) )</f>
        <v>-2400</v>
      </c>
      <c r="M32" s="58" t="b">
        <f t="shared" si="4"/>
        <v>1</v>
      </c>
    </row>
    <row r="33" spans="6:13" ht="17.399999999999999" customHeight="1" thickBot="1" x14ac:dyDescent="0.35">
      <c r="F33" s="526" t="s">
        <v>212</v>
      </c>
      <c r="I33" s="1114">
        <f t="shared" si="3"/>
        <v>844.37306771495787</v>
      </c>
      <c r="J33" s="1128">
        <f xml:space="preserve"> INDEX( SplitScreenStrip!$13:$23, MATCH( $F33, SplitScreenStrip!$F$13:$F$23, 0 ), MATCH( J$20, SplitScreenStrip!$12:$12, 0 ) )</f>
        <v>4221.8653385747812</v>
      </c>
      <c r="K33" s="1141">
        <f xml:space="preserve"> INDEX( SplitScreenStrip!$13:$23, MATCH( $F33, SplitScreenStrip!$F$13:$F$23, 0 ), MATCH( K$20, SplitScreenStrip!$12:$12, 0 ) )</f>
        <v>13095.389699380821</v>
      </c>
      <c r="L33" s="1152">
        <f xml:space="preserve"> (-1) * INDEX( SplitScreenStrip!$13:$23, MATCH( $F33, SplitScreenStrip!$F$13:$F$23, 0 ), MATCH( L$20, SplitScreenStrip!$12:$12, 0 ) )</f>
        <v>-16472.881970240644</v>
      </c>
      <c r="M33" s="58" t="b">
        <f t="shared" si="4"/>
        <v>1</v>
      </c>
    </row>
    <row r="34" spans="6:13" ht="12.75" customHeight="1" x14ac:dyDescent="0.3">
      <c r="I34" s="1221" t="b">
        <f xml:space="preserve"> SUM(I23:I31) = SUM(I32:I33)</f>
        <v>1</v>
      </c>
      <c r="J34" s="1221" t="b">
        <f t="shared" ref="J34:L34" si="5" xml:space="preserve"> SUM(J23:J31) = SUM(J32:J33)</f>
        <v>1</v>
      </c>
      <c r="K34" s="1221" t="b">
        <f t="shared" si="5"/>
        <v>1</v>
      </c>
      <c r="L34" s="1221" t="b">
        <f t="shared" si="5"/>
        <v>1</v>
      </c>
    </row>
    <row r="35" spans="6:13" ht="12.75" customHeight="1" x14ac:dyDescent="0.3"/>
    <row r="36" spans="6:13" ht="12.75" customHeight="1" x14ac:dyDescent="0.3"/>
    <row r="37" spans="6:13" ht="12.75" customHeight="1" x14ac:dyDescent="0.3"/>
    <row r="38" spans="6:13" ht="12.75" customHeight="1" x14ac:dyDescent="0.3"/>
    <row r="39" spans="6:13" ht="12.75" customHeight="1" x14ac:dyDescent="0.3"/>
    <row r="40" spans="6:13" ht="12.75" customHeight="1" x14ac:dyDescent="0.3"/>
    <row r="41" spans="6:13" ht="12.75" customHeight="1" x14ac:dyDescent="0.3"/>
    <row r="42" spans="6:13" ht="12.75" customHeight="1" x14ac:dyDescent="0.3"/>
    <row r="43" spans="6:13" ht="12.75" customHeight="1" x14ac:dyDescent="0.3"/>
    <row r="44" spans="6:13" ht="12.75" customHeight="1" x14ac:dyDescent="0.3"/>
    <row r="45" spans="6:13" ht="12.75" customHeight="1" x14ac:dyDescent="0.3"/>
  </sheetData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5EDA65-19BB-403E-86DE-223410C1405E}">
          <x14:formula1>
            <xm:f>DataProcess!$K$2:$P$2</xm:f>
          </x14:formula1>
          <xm:sqref>E2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3BAFE-C99D-43D8-87FA-1BDBCD563A58}">
  <sheetPr codeName="Sheet6"/>
  <dimension ref="A1:W68"/>
  <sheetViews>
    <sheetView zoomScaleNormal="100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I9" sqref="I9"/>
    </sheetView>
  </sheetViews>
  <sheetFormatPr defaultColWidth="9.109375" defaultRowHeight="13.2" x14ac:dyDescent="0.3"/>
  <cols>
    <col min="1" max="3" width="3.5546875" style="196" customWidth="1"/>
    <col min="4" max="6" width="8.5546875" style="196" customWidth="1"/>
    <col min="7" max="7" width="28.33203125" style="196" customWidth="1"/>
    <col min="8" max="8" width="8.5546875" style="196" customWidth="1"/>
    <col min="9" max="14" width="7.88671875" style="196" customWidth="1"/>
    <col min="15" max="15" width="2.88671875" style="196" customWidth="1"/>
    <col min="16" max="16384" width="9.109375" style="196"/>
  </cols>
  <sheetData>
    <row r="1" spans="1:23" ht="38.25" customHeight="1" thickBot="1" x14ac:dyDescent="0.35"/>
    <row r="2" spans="1:23" s="47" customFormat="1" ht="13.8" thickBot="1" x14ac:dyDescent="0.35">
      <c r="D2" s="405" t="s">
        <v>1</v>
      </c>
      <c r="E2" s="403" t="s">
        <v>2</v>
      </c>
      <c r="F2" s="404" t="s">
        <v>3</v>
      </c>
      <c r="G2" s="411"/>
      <c r="I2" s="47">
        <v>2022</v>
      </c>
      <c r="J2" s="47">
        <v>2023</v>
      </c>
      <c r="K2" s="47">
        <v>2024</v>
      </c>
      <c r="L2" s="47">
        <v>2025</v>
      </c>
      <c r="M2" s="47">
        <v>2026</v>
      </c>
      <c r="N2" s="47">
        <v>2027</v>
      </c>
    </row>
    <row r="3" spans="1:23" ht="6" customHeight="1" x14ac:dyDescent="0.3"/>
    <row r="4" spans="1:23" s="38" customFormat="1" ht="7.2" thickBot="1" x14ac:dyDescent="0.35"/>
    <row r="5" spans="1:23" s="98" customFormat="1" ht="16.8" thickBot="1" x14ac:dyDescent="0.35">
      <c r="A5" s="96"/>
      <c r="B5" s="97"/>
      <c r="C5" s="96"/>
      <c r="D5" s="99"/>
      <c r="E5" s="97"/>
      <c r="F5" s="97"/>
      <c r="H5" s="97" t="s">
        <v>670</v>
      </c>
    </row>
    <row r="6" spans="1:23" ht="13.8" thickBot="1" x14ac:dyDescent="0.35"/>
    <row r="7" spans="1:23" ht="16.2" thickBot="1" x14ac:dyDescent="0.35">
      <c r="I7" s="331" t="s">
        <v>253</v>
      </c>
      <c r="J7" s="332" t="s">
        <v>254</v>
      </c>
      <c r="K7" s="332" t="s">
        <v>255</v>
      </c>
      <c r="L7" s="332" t="s">
        <v>256</v>
      </c>
      <c r="M7" s="332" t="s">
        <v>257</v>
      </c>
      <c r="N7" s="333" t="s">
        <v>258</v>
      </c>
      <c r="P7" s="352" t="s">
        <v>595</v>
      </c>
    </row>
    <row r="8" spans="1:23" s="62" customFormat="1" ht="4.8" thickBot="1" x14ac:dyDescent="0.35">
      <c r="I8" s="295"/>
      <c r="J8" s="295"/>
      <c r="K8" s="295"/>
      <c r="L8" s="295"/>
      <c r="M8" s="295"/>
      <c r="N8" s="295"/>
    </row>
    <row r="9" spans="1:23" ht="14.4" x14ac:dyDescent="0.3">
      <c r="D9" s="223" t="s">
        <v>275</v>
      </c>
      <c r="G9" s="58" t="s">
        <v>201</v>
      </c>
      <c r="H9" s="353" t="s">
        <v>224</v>
      </c>
      <c r="I9" s="198">
        <f xml:space="preserve"> INDEX( SplitScreenStrip!$G$68:$Y$71, MATCH( $D9, SplitScreenStrip!$D$68:$D$71, 0 ), MATCH( I$7, SplitScreenStrip!$G$67:$Y$67, 0 ) )</f>
        <v>23750</v>
      </c>
      <c r="J9" s="194">
        <f xml:space="preserve"> INDEX( SplitScreenStrip!$G$68:$Y$71, MATCH( $D9, SplitScreenStrip!$D$68:$D$71, 0 ), MATCH( J$7, SplitScreenStrip!$G$67:$Y$67, 0 ) )</f>
        <v>19046.232876712329</v>
      </c>
      <c r="K9" s="194">
        <f xml:space="preserve"> INDEX( SplitScreenStrip!$G$68:$Y$71, MATCH( $D9, SplitScreenStrip!$D$68:$D$71, 0 ), MATCH( K$7, SplitScreenStrip!$G$67:$Y$67, 0 ) )</f>
        <v>15350.856164383562</v>
      </c>
      <c r="L9" s="194">
        <f xml:space="preserve"> INDEX( SplitScreenStrip!$G$68:$Y$71, MATCH( $D9, SplitScreenStrip!$D$68:$D$71, 0 ), MATCH( L$7, SplitScreenStrip!$G$67:$Y$67, 0 ) )</f>
        <v>11685.941780821917</v>
      </c>
      <c r="M9" s="194">
        <f xml:space="preserve"> INDEX( SplitScreenStrip!$G$68:$Y$71, MATCH( $D9, SplitScreenStrip!$D$68:$D$71, 0 ), MATCH( M$7, SplitScreenStrip!$G$67:$Y$67, 0 ) )</f>
        <v>8054.7243150684935</v>
      </c>
      <c r="N9" s="266">
        <f xml:space="preserve"> INDEX( SplitScreenStrip!$G$68:$Y$71, MATCH( $D9, SplitScreenStrip!$D$68:$D$71, 0 ), MATCH( N$7, SplitScreenStrip!$G$67:$Y$67, 0 ) )</f>
        <v>0</v>
      </c>
      <c r="O9" s="309"/>
      <c r="P9" s="307">
        <f xml:space="preserve"> SUM( I9:N9 )</f>
        <v>77887.755136986307</v>
      </c>
    </row>
    <row r="10" spans="1:23" ht="16.2" thickBot="1" x14ac:dyDescent="0.35">
      <c r="D10" s="223" t="s">
        <v>276</v>
      </c>
      <c r="G10" s="406" t="s">
        <v>188</v>
      </c>
      <c r="H10" s="354" t="s">
        <v>206</v>
      </c>
      <c r="I10" s="197">
        <f xml:space="preserve"> INDEX( SplitScreenStrip!$G$68:$Y$71, MATCH( $D10, SplitScreenStrip!$D$68:$D$71, 0 ), MATCH( I$7, SplitScreenStrip!$G$67:$Y$67, 0 ) )</f>
        <v>-3750</v>
      </c>
      <c r="J10" s="195">
        <f xml:space="preserve"> INDEX( SplitScreenStrip!$G$68:$Y$71, MATCH( $D10, SplitScreenStrip!$D$68:$D$71, 0 ), MATCH( J$7, SplitScreenStrip!$G$67:$Y$67, 0 ) )</f>
        <v>-513.13287671233275</v>
      </c>
      <c r="K10" s="195">
        <f xml:space="preserve"> INDEX( SplitScreenStrip!$G$68:$Y$71, MATCH( $D10, SplitScreenStrip!$D$68:$D$71, 0 ), MATCH( K$7, SplitScreenStrip!$G$67:$Y$67, 0 ) )</f>
        <v>2459.5399753424635</v>
      </c>
      <c r="L10" s="195">
        <f xml:space="preserve"> INDEX( SplitScreenStrip!$G$68:$Y$71, MATCH( $D10, SplitScreenStrip!$D$68:$D$71, 0 ), MATCH( L$7, SplitScreenStrip!$G$67:$Y$67, 0 ) )</f>
        <v>6209.4479185589062</v>
      </c>
      <c r="M10" s="195">
        <f xml:space="preserve"> INDEX( SplitScreenStrip!$G$68:$Y$71, MATCH( $D10, SplitScreenStrip!$D$68:$D$71, 0 ), MATCH( M$7, SplitScreenStrip!$G$67:$Y$67, 0 ) )</f>
        <v>10818.157655172152</v>
      </c>
      <c r="N10" s="267">
        <f xml:space="preserve"> INDEX( SplitScreenStrip!$G$68:$Y$71, MATCH( $D10, SplitScreenStrip!$D$68:$D$71, 0 ), MATCH( N$7, SplitScreenStrip!$G$67:$Y$67, 0 ) )</f>
        <v>0</v>
      </c>
      <c r="O10" s="309"/>
      <c r="P10" s="308">
        <f xml:space="preserve"> SUM( I10:N10 )</f>
        <v>15224.01267236119</v>
      </c>
      <c r="R10" s="1157" t="s">
        <v>546</v>
      </c>
      <c r="S10" s="1157"/>
      <c r="T10" s="1157"/>
      <c r="U10" s="1157"/>
      <c r="V10" s="1157"/>
      <c r="W10" s="1157"/>
    </row>
    <row r="11" spans="1:23" ht="15" thickBot="1" x14ac:dyDescent="0.35">
      <c r="G11" s="407" t="s">
        <v>29</v>
      </c>
      <c r="H11" s="346" t="s">
        <v>351</v>
      </c>
      <c r="I11" s="347">
        <f t="shared" ref="I11:N11" si="0" xml:space="preserve"> SUM( I9:I10 )</f>
        <v>20000</v>
      </c>
      <c r="J11" s="348">
        <f t="shared" si="0"/>
        <v>18533.099999999995</v>
      </c>
      <c r="K11" s="348">
        <f t="shared" si="0"/>
        <v>17810.396139726025</v>
      </c>
      <c r="L11" s="348">
        <f t="shared" si="0"/>
        <v>17895.389699380823</v>
      </c>
      <c r="M11" s="348">
        <f t="shared" si="0"/>
        <v>18872.881970240647</v>
      </c>
      <c r="N11" s="349">
        <f t="shared" si="0"/>
        <v>0</v>
      </c>
      <c r="O11" s="309"/>
      <c r="P11" s="351">
        <f xml:space="preserve"> SUM( I11:N11 )</f>
        <v>93111.767809347482</v>
      </c>
    </row>
    <row r="12" spans="1:23" s="62" customFormat="1" ht="4.8" thickBot="1" x14ac:dyDescent="0.35">
      <c r="H12" s="296"/>
      <c r="I12" s="295"/>
      <c r="J12" s="295"/>
      <c r="K12" s="295"/>
      <c r="L12" s="295"/>
      <c r="M12" s="295"/>
      <c r="N12" s="295"/>
      <c r="P12" s="295"/>
    </row>
    <row r="13" spans="1:23" ht="14.4" x14ac:dyDescent="0.3">
      <c r="D13" s="223" t="s">
        <v>277</v>
      </c>
      <c r="G13" s="58" t="s">
        <v>127</v>
      </c>
      <c r="H13" s="353" t="s">
        <v>205</v>
      </c>
      <c r="I13" s="198">
        <f xml:space="preserve"> INDEX( SplitScreenStrip!$G$68:$Y$71, MATCH( $D13, SplitScreenStrip!$D$68:$D$71, 0 ), MATCH( I$7, SplitScreenStrip!$G$67:$Y$67, 0 ) )</f>
        <v>12000</v>
      </c>
      <c r="J13" s="194">
        <f xml:space="preserve"> INDEX( SplitScreenStrip!$G$68:$Y$71, MATCH( $D13, SplitScreenStrip!$D$68:$D$71, 0 ), MATCH( J$7, SplitScreenStrip!$G$67:$Y$67, 0 ) )</f>
        <v>9600</v>
      </c>
      <c r="K13" s="194">
        <f xml:space="preserve"> INDEX( SplitScreenStrip!$G$68:$Y$71, MATCH( $D13, SplitScreenStrip!$D$68:$D$71, 0 ), MATCH( K$7, SplitScreenStrip!$G$67:$Y$67, 0 ) )</f>
        <v>7200</v>
      </c>
      <c r="L13" s="194">
        <f xml:space="preserve"> INDEX( SplitScreenStrip!$G$68:$Y$71, MATCH( $D13, SplitScreenStrip!$D$68:$D$71, 0 ), MATCH( L$7, SplitScreenStrip!$G$67:$Y$67, 0 ) )</f>
        <v>4800</v>
      </c>
      <c r="M13" s="194">
        <f xml:space="preserve"> INDEX( SplitScreenStrip!$G$68:$Y$71, MATCH( $D13, SplitScreenStrip!$D$68:$D$71, 0 ), MATCH( M$7, SplitScreenStrip!$G$67:$Y$67, 0 ) )</f>
        <v>2400</v>
      </c>
      <c r="N13" s="266">
        <f xml:space="preserve"> INDEX( SplitScreenStrip!$G$68:$Y$71, MATCH( $D13, SplitScreenStrip!$D$68:$D$71, 0 ), MATCH( N$7, SplitScreenStrip!$G$67:$Y$67, 0 ) )</f>
        <v>0</v>
      </c>
      <c r="O13" s="309"/>
      <c r="P13" s="307">
        <f xml:space="preserve"> SUM( I13:N13 )</f>
        <v>36000</v>
      </c>
    </row>
    <row r="14" spans="1:23" ht="15" thickBot="1" x14ac:dyDescent="0.35">
      <c r="D14" s="223" t="s">
        <v>278</v>
      </c>
      <c r="G14" s="406" t="s">
        <v>128</v>
      </c>
      <c r="H14" s="354" t="s">
        <v>204</v>
      </c>
      <c r="I14" s="197">
        <f xml:space="preserve"> INDEX( SplitScreenStrip!$G$68:$Y$71, MATCH( $D14, SplitScreenStrip!$D$68:$D$71, 0 ), MATCH( I$7, SplitScreenStrip!$G$67:$Y$67, 0 ) )</f>
        <v>8000</v>
      </c>
      <c r="J14" s="195">
        <f xml:space="preserve"> INDEX( SplitScreenStrip!$G$68:$Y$71, MATCH( $D14, SplitScreenStrip!$D$68:$D$71, 0 ), MATCH( J$7, SplitScreenStrip!$G$67:$Y$67, 0 ) )</f>
        <v>8933.1</v>
      </c>
      <c r="K14" s="195">
        <f xml:space="preserve"> INDEX( SplitScreenStrip!$G$68:$Y$71, MATCH( $D14, SplitScreenStrip!$D$68:$D$71, 0 ), MATCH( K$7, SplitScreenStrip!$G$67:$Y$67, 0 ) )</f>
        <v>10610.396139726026</v>
      </c>
      <c r="L14" s="195">
        <f xml:space="preserve"> INDEX( SplitScreenStrip!$G$68:$Y$71, MATCH( $D14, SplitScreenStrip!$D$68:$D$71, 0 ), MATCH( L$7, SplitScreenStrip!$G$67:$Y$67, 0 ) )</f>
        <v>13095.389699380821</v>
      </c>
      <c r="M14" s="195">
        <f xml:space="preserve"> INDEX( SplitScreenStrip!$G$68:$Y$71, MATCH( $D14, SplitScreenStrip!$D$68:$D$71, 0 ), MATCH( M$7, SplitScreenStrip!$G$67:$Y$67, 0 ) )</f>
        <v>16472.881970240644</v>
      </c>
      <c r="N14" s="267">
        <f xml:space="preserve"> INDEX( SplitScreenStrip!$G$68:$Y$71, MATCH( $D14, SplitScreenStrip!$D$68:$D$71, 0 ), MATCH( N$7, SplitScreenStrip!$G$67:$Y$67, 0 ) )</f>
        <v>0</v>
      </c>
      <c r="O14" s="309"/>
      <c r="P14" s="308">
        <f xml:space="preserve"> SUM( I14:N14 )</f>
        <v>57111.767809347497</v>
      </c>
    </row>
    <row r="15" spans="1:23" ht="15" thickBot="1" x14ac:dyDescent="0.35">
      <c r="G15" s="407" t="s">
        <v>28</v>
      </c>
      <c r="H15" s="350" t="s">
        <v>352</v>
      </c>
      <c r="I15" s="347">
        <f t="shared" ref="I15:N15" si="1" xml:space="preserve"> SUM( I13:I14 )</f>
        <v>20000</v>
      </c>
      <c r="J15" s="348">
        <f t="shared" si="1"/>
        <v>18533.099999999999</v>
      </c>
      <c r="K15" s="348">
        <f t="shared" si="1"/>
        <v>17810.396139726028</v>
      </c>
      <c r="L15" s="348">
        <f t="shared" si="1"/>
        <v>17895.389699380823</v>
      </c>
      <c r="M15" s="348">
        <f t="shared" si="1"/>
        <v>18872.881970240644</v>
      </c>
      <c r="N15" s="349">
        <f t="shared" si="1"/>
        <v>0</v>
      </c>
      <c r="O15" s="309"/>
      <c r="P15" s="351">
        <f xml:space="preserve"> SUM( I15:N15 )</f>
        <v>93111.767809347497</v>
      </c>
    </row>
    <row r="16" spans="1:23" ht="13.8" thickBot="1" x14ac:dyDescent="0.35"/>
    <row r="17" spans="5:17" ht="16.2" thickBot="1" x14ac:dyDescent="0.35">
      <c r="H17" s="15"/>
      <c r="I17" s="334" t="s">
        <v>353</v>
      </c>
      <c r="J17" s="335" t="s">
        <v>354</v>
      </c>
      <c r="K17" s="335" t="s">
        <v>355</v>
      </c>
      <c r="L17" s="335" t="s">
        <v>356</v>
      </c>
      <c r="M17" s="335" t="s">
        <v>357</v>
      </c>
      <c r="N17" s="336" t="s">
        <v>358</v>
      </c>
      <c r="P17" s="345" t="s">
        <v>596</v>
      </c>
    </row>
    <row r="18" spans="5:17" s="62" customFormat="1" ht="4.8" thickBot="1" x14ac:dyDescent="0.35">
      <c r="H18" s="25"/>
      <c r="I18" s="295"/>
      <c r="J18" s="295"/>
      <c r="K18" s="295"/>
      <c r="L18" s="295"/>
      <c r="M18" s="295"/>
      <c r="N18" s="295"/>
    </row>
    <row r="19" spans="5:17" ht="14.4" x14ac:dyDescent="0.3">
      <c r="E19" s="223" t="s">
        <v>279</v>
      </c>
      <c r="G19" s="408" t="s">
        <v>521</v>
      </c>
      <c r="H19" s="337" t="s">
        <v>221</v>
      </c>
      <c r="I19" s="198">
        <f xml:space="preserve"> INDEX( SplitScreenStrip!$G$68:$Y$71, MATCH( $E19, SplitScreenStrip!$E$68:$E$71, 0 ), MATCH( "+"&amp;I$17, SplitScreenStrip!$G$67:$Y$67, 0 ) )</f>
        <v>0</v>
      </c>
      <c r="J19" s="194">
        <f xml:space="preserve"> INDEX( SplitScreenStrip!$G$68:$Y$71, MATCH( $E19, SplitScreenStrip!$E$68:$E$71, 0 ), MATCH( "+"&amp;J$17, SplitScreenStrip!$G$67:$Y$67, 0 ) )</f>
        <v>1500.125</v>
      </c>
      <c r="K19" s="194">
        <f xml:space="preserve"> INDEX( SplitScreenStrip!$G$68:$Y$71, MATCH( $E19, SplitScreenStrip!$E$68:$E$71, 0 ), MATCH( "+"&amp;K$17, SplitScreenStrip!$G$67:$Y$67, 0 ) )</f>
        <v>2301.4484965753427</v>
      </c>
      <c r="L19" s="194">
        <f xml:space="preserve"> INDEX( SplitScreenStrip!$G$68:$Y$71, MATCH( $E19, SplitScreenStrip!$E$68:$E$71, 0 ), MATCH( "+"&amp;L$17, SplitScreenStrip!$G$67:$Y$67, 0 ) )</f>
        <v>3188.7534501849314</v>
      </c>
      <c r="M19" s="194">
        <f xml:space="preserve"> INDEX( SplitScreenStrip!$G$68:$Y$71, MATCH( $E19, SplitScreenStrip!$E$68:$E$71, 0 ), MATCH( "+"&amp;M$17, SplitScreenStrip!$G$67:$Y$67, 0 ) )</f>
        <v>4162.6291406108085</v>
      </c>
      <c r="N19" s="266">
        <f xml:space="preserve"> INDEX( SplitScreenStrip!$G$68:$Y$71, MATCH( $E19, SplitScreenStrip!$E$68:$E$71, 0 ), MATCH( "+"&amp;N$17, SplitScreenStrip!$G$67:$Y$67, 0 ) )</f>
        <v>5231.9138175862099</v>
      </c>
      <c r="O19" s="309"/>
      <c r="P19" s="307">
        <f xml:space="preserve"> SUM( I19:N19 )</f>
        <v>16384.869904957293</v>
      </c>
    </row>
    <row r="20" spans="5:17" ht="15" thickBot="1" x14ac:dyDescent="0.35">
      <c r="E20" s="223" t="s">
        <v>280</v>
      </c>
      <c r="G20" s="409" t="s">
        <v>57</v>
      </c>
      <c r="H20" s="338" t="s">
        <v>207</v>
      </c>
      <c r="I20" s="197">
        <f xml:space="preserve"> INDEX( SplitScreenStrip!$G$68:$Y$71, MATCH( $E20, SplitScreenStrip!$E$68:$E$71, 0 ), MATCH( "+"&amp;I$17, SplitScreenStrip!$G$67:$Y$67, 0 ) )</f>
        <v>0</v>
      </c>
      <c r="J20" s="195">
        <f xml:space="preserve"> INDEX( SplitScreenStrip!$G$68:$Y$71, MATCH( $E20, SplitScreenStrip!$E$68:$E$71, 0 ), MATCH( "+"&amp;J$17, SplitScreenStrip!$G$67:$Y$67, 0 ) )</f>
        <v>-93.75</v>
      </c>
      <c r="K20" s="195">
        <f xml:space="preserve"> INDEX( SplitScreenStrip!$G$68:$Y$71, MATCH( $E20, SplitScreenStrip!$E$68:$E$71, 0 ), MATCH( "+"&amp;K$17, SplitScreenStrip!$G$67:$Y$67, 0 ) )</f>
        <v>-12.828321917808319</v>
      </c>
      <c r="L20" s="195">
        <f xml:space="preserve"> INDEX( SplitScreenStrip!$G$68:$Y$71, MATCH( $E20, SplitScreenStrip!$E$68:$E$71, 0 ), MATCH( "+"&amp;L$17, SplitScreenStrip!$G$67:$Y$67, 0 ) )</f>
        <v>61.488499383561589</v>
      </c>
      <c r="M20" s="195">
        <f xml:space="preserve"> INDEX( SplitScreenStrip!$G$68:$Y$71, MATCH( $E20, SplitScreenStrip!$E$68:$E$71, 0 ), MATCH( "+"&amp;M$17, SplitScreenStrip!$G$67:$Y$67, 0 ) )</f>
        <v>155.23619796397267</v>
      </c>
      <c r="N20" s="267">
        <f xml:space="preserve"> INDEX( SplitScreenStrip!$G$68:$Y$71, MATCH( $E20, SplitScreenStrip!$E$68:$E$71, 0 ), MATCH( "+"&amp;N$17, SplitScreenStrip!$G$67:$Y$67, 0 ) )</f>
        <v>270.45394137930379</v>
      </c>
      <c r="O20" s="309"/>
      <c r="P20" s="308">
        <f xml:space="preserve"> SUM( I20:N20 )</f>
        <v>380.60031680902972</v>
      </c>
    </row>
    <row r="21" spans="5:17" ht="15" thickBot="1" x14ac:dyDescent="0.35">
      <c r="G21" s="410" t="s">
        <v>522</v>
      </c>
      <c r="H21" s="339" t="s">
        <v>359</v>
      </c>
      <c r="I21" s="341">
        <f t="shared" ref="I21:N21" si="2" xml:space="preserve"> SUM( I19:I20 )</f>
        <v>0</v>
      </c>
      <c r="J21" s="342">
        <f t="shared" si="2"/>
        <v>1406.375</v>
      </c>
      <c r="K21" s="342">
        <f t="shared" si="2"/>
        <v>2288.6201746575343</v>
      </c>
      <c r="L21" s="342">
        <f t="shared" si="2"/>
        <v>3250.2419495684931</v>
      </c>
      <c r="M21" s="342">
        <f t="shared" si="2"/>
        <v>4317.8653385747812</v>
      </c>
      <c r="N21" s="343">
        <f t="shared" si="2"/>
        <v>5502.3677589655135</v>
      </c>
      <c r="O21" s="309"/>
      <c r="P21" s="343">
        <f xml:space="preserve"> SUM( I21:N21 )</f>
        <v>16765.470221766322</v>
      </c>
    </row>
    <row r="22" spans="5:17" s="62" customFormat="1" ht="4.8" thickBot="1" x14ac:dyDescent="0.35">
      <c r="H22" s="296"/>
      <c r="I22" s="295"/>
      <c r="J22" s="295"/>
      <c r="K22" s="295"/>
      <c r="L22" s="295"/>
      <c r="M22" s="295"/>
      <c r="N22" s="295"/>
      <c r="P22" s="295"/>
    </row>
    <row r="23" spans="5:17" ht="14.4" x14ac:dyDescent="0.3">
      <c r="E23" s="223" t="s">
        <v>281</v>
      </c>
      <c r="G23" s="408" t="s">
        <v>58</v>
      </c>
      <c r="H23" s="337" t="s">
        <v>208</v>
      </c>
      <c r="I23" s="198">
        <f xml:space="preserve"> INDEX( SplitScreenStrip!$G$68:$Y$71, MATCH( $E23, SplitScreenStrip!$E$68:$E$71, 0 ), MATCH( "+"&amp;I$17, SplitScreenStrip!$G$67:$Y$67, 0 ) )</f>
        <v>0</v>
      </c>
      <c r="J23" s="194">
        <f xml:space="preserve"> INDEX( SplitScreenStrip!$G$68:$Y$71, MATCH( $E23, SplitScreenStrip!$E$68:$E$71, 0 ), MATCH( "+"&amp;J$17, SplitScreenStrip!$G$67:$Y$67, 0 ) )</f>
        <v>240</v>
      </c>
      <c r="K23" s="194">
        <f xml:space="preserve"> INDEX( SplitScreenStrip!$G$68:$Y$71, MATCH( $E23, SplitScreenStrip!$E$68:$E$71, 0 ), MATCH( "+"&amp;K$17, SplitScreenStrip!$G$67:$Y$67, 0 ) )</f>
        <v>192</v>
      </c>
      <c r="L23" s="194">
        <f xml:space="preserve"> INDEX( SplitScreenStrip!$G$68:$Y$71, MATCH( $E23, SplitScreenStrip!$E$68:$E$71, 0 ), MATCH( "+"&amp;L$17, SplitScreenStrip!$G$67:$Y$67, 0 ) )</f>
        <v>144</v>
      </c>
      <c r="M23" s="194">
        <f xml:space="preserve"> INDEX( SplitScreenStrip!$G$68:$Y$71, MATCH( $E23, SplitScreenStrip!$E$68:$E$71, 0 ), MATCH( "+"&amp;M$17, SplitScreenStrip!$G$67:$Y$67, 0 ) )</f>
        <v>96</v>
      </c>
      <c r="N23" s="266">
        <f xml:space="preserve"> INDEX( SplitScreenStrip!$G$68:$Y$71, MATCH( $E23, SplitScreenStrip!$E$68:$E$71, 0 ), MATCH( "+"&amp;N$17, SplitScreenStrip!$G$67:$Y$67, 0 ) )</f>
        <v>48</v>
      </c>
      <c r="O23" s="309"/>
      <c r="P23" s="307">
        <f xml:space="preserve"> SUM( I23:N23 )</f>
        <v>720</v>
      </c>
    </row>
    <row r="24" spans="5:17" ht="15" thickBot="1" x14ac:dyDescent="0.35">
      <c r="E24" s="223" t="s">
        <v>282</v>
      </c>
      <c r="G24" s="409" t="s">
        <v>59</v>
      </c>
      <c r="H24" s="338" t="s">
        <v>609</v>
      </c>
      <c r="I24" s="197">
        <f xml:space="preserve"> INDEX( SplitScreenStrip!$G$68:$Y$71, MATCH( $E24, SplitScreenStrip!$E$68:$E$71, 0 ), MATCH( "+"&amp;I$17, SplitScreenStrip!$G$67:$Y$67, 0 ) )</f>
        <v>0</v>
      </c>
      <c r="J24" s="195">
        <f xml:space="preserve"> INDEX( SplitScreenStrip!$G$68:$Y$71, MATCH( $E24, SplitScreenStrip!$E$68:$E$71, 0 ), MATCH( "+"&amp;J$17, SplitScreenStrip!$G$67:$Y$67, 0 ) )</f>
        <v>1166.375</v>
      </c>
      <c r="K24" s="195">
        <f xml:space="preserve"> INDEX( SplitScreenStrip!$G$68:$Y$71, MATCH( $E24, SplitScreenStrip!$E$68:$E$71, 0 ), MATCH( "+"&amp;K$17, SplitScreenStrip!$G$67:$Y$67, 0 ) )</f>
        <v>2096.6201746575343</v>
      </c>
      <c r="L24" s="195">
        <f xml:space="preserve"> INDEX( SplitScreenStrip!$G$68:$Y$71, MATCH( $E24, SplitScreenStrip!$E$68:$E$71, 0 ), MATCH( "+"&amp;L$17, SplitScreenStrip!$G$67:$Y$67, 0 ) )</f>
        <v>3106.2419495684931</v>
      </c>
      <c r="M24" s="195">
        <f xml:space="preserve"> INDEX( SplitScreenStrip!$G$68:$Y$71, MATCH( $E24, SplitScreenStrip!$E$68:$E$71, 0 ), MATCH( "+"&amp;M$17, SplitScreenStrip!$G$67:$Y$67, 0 ) )</f>
        <v>4221.8653385747812</v>
      </c>
      <c r="N24" s="267">
        <f xml:space="preserve"> INDEX( SplitScreenStrip!$G$68:$Y$71, MATCH( $E24, SplitScreenStrip!$E$68:$E$71, 0 ), MATCH( "+"&amp;N$17, SplitScreenStrip!$G$67:$Y$67, 0 ) )</f>
        <v>5454.3677589655126</v>
      </c>
      <c r="O24" s="309"/>
      <c r="P24" s="308">
        <f xml:space="preserve"> SUM( I24:N24 )</f>
        <v>16045.470221766322</v>
      </c>
    </row>
    <row r="25" spans="5:17" ht="15" thickBot="1" x14ac:dyDescent="0.35">
      <c r="G25" s="410" t="s">
        <v>523</v>
      </c>
      <c r="H25" s="340" t="s">
        <v>360</v>
      </c>
      <c r="I25" s="341">
        <f t="shared" ref="I25:N25" si="3" xml:space="preserve"> SUM( I23:I24 )</f>
        <v>0</v>
      </c>
      <c r="J25" s="342">
        <f t="shared" si="3"/>
        <v>1406.375</v>
      </c>
      <c r="K25" s="342">
        <f t="shared" si="3"/>
        <v>2288.6201746575343</v>
      </c>
      <c r="L25" s="342">
        <f t="shared" si="3"/>
        <v>3250.2419495684931</v>
      </c>
      <c r="M25" s="342">
        <f t="shared" si="3"/>
        <v>4317.8653385747812</v>
      </c>
      <c r="N25" s="343">
        <f t="shared" si="3"/>
        <v>5502.3677589655126</v>
      </c>
      <c r="O25" s="309"/>
      <c r="P25" s="343">
        <f xml:space="preserve"> SUM( I25:N25 )</f>
        <v>16765.470221766322</v>
      </c>
    </row>
    <row r="26" spans="5:17" ht="13.8" thickBot="1" x14ac:dyDescent="0.35"/>
    <row r="27" spans="5:17" ht="16.2" thickBot="1" x14ac:dyDescent="0.35">
      <c r="H27" s="15"/>
      <c r="I27" s="380" t="s">
        <v>296</v>
      </c>
      <c r="J27" s="381" t="s">
        <v>297</v>
      </c>
      <c r="K27" s="381" t="s">
        <v>298</v>
      </c>
      <c r="L27" s="381" t="s">
        <v>299</v>
      </c>
      <c r="M27" s="381" t="s">
        <v>300</v>
      </c>
      <c r="N27" s="382" t="s">
        <v>301</v>
      </c>
      <c r="P27" s="383" t="s">
        <v>597</v>
      </c>
    </row>
    <row r="28" spans="5:17" s="62" customFormat="1" ht="4.8" thickBot="1" x14ac:dyDescent="0.35">
      <c r="H28" s="25"/>
      <c r="I28" s="295"/>
      <c r="J28" s="295"/>
      <c r="K28" s="295"/>
      <c r="L28" s="295"/>
      <c r="M28" s="295"/>
      <c r="N28" s="295"/>
    </row>
    <row r="29" spans="5:17" ht="14.4" x14ac:dyDescent="0.3">
      <c r="F29" s="223" t="s">
        <v>283</v>
      </c>
      <c r="G29" s="408" t="s">
        <v>615</v>
      </c>
      <c r="H29" s="390" t="s">
        <v>287</v>
      </c>
      <c r="I29" s="198">
        <f xml:space="preserve"> (-1) * INDEX( SplitScreenStrip!$G$68:$Y$71, MATCH( $F29, SplitScreenStrip!$F$68:$F$71, 0 ), MATCH( "–"&amp;I$27, SplitScreenStrip!$G$67:$Y$67, 0 ) )</f>
        <v>-23750</v>
      </c>
      <c r="J29" s="194">
        <f xml:space="preserve"> (-1) * INDEX( SplitScreenStrip!$G$68:$Y$71, MATCH( $F29, SplitScreenStrip!$F$68:$F$71, 0 ), MATCH( "–"&amp;J$27, SplitScreenStrip!$G$67:$Y$67, 0 ) )</f>
        <v>6203.8921232876673</v>
      </c>
      <c r="K29" s="194">
        <f xml:space="preserve"> (-1) * INDEX( SplitScreenStrip!$G$68:$Y$71, MATCH( $F29, SplitScreenStrip!$F$68:$F$71, 0 ), MATCH( "–"&amp;K$27, SplitScreenStrip!$G$67:$Y$67, 0 ) )</f>
        <v>5996.8252089041116</v>
      </c>
      <c r="L29" s="194">
        <f xml:space="preserve"> (-1) * INDEX( SplitScreenStrip!$G$68:$Y$71, MATCH( $F29, SplitScreenStrip!$F$68:$F$71, 0 ), MATCH( "–"&amp;L$27, SplitScreenStrip!$G$67:$Y$67, 0 ) )</f>
        <v>6853.6678337465801</v>
      </c>
      <c r="M29" s="194">
        <f xml:space="preserve"> (-1) * INDEX( SplitScreenStrip!$G$68:$Y$71, MATCH( $F29, SplitScreenStrip!$F$68:$F$71, 0 ), MATCH( "–"&amp;M$27, SplitScreenStrip!$G$67:$Y$67, 0 ) )</f>
        <v>7793.8466063642281</v>
      </c>
      <c r="N29" s="266">
        <f xml:space="preserve"> (-1) * INDEX( SplitScreenStrip!$G$68:$Y$71, MATCH( $F29, SplitScreenStrip!$F$68:$F$71, 0 ), MATCH( "–"&amp;N$27, SplitScreenStrip!$G$67:$Y$67, 0 ) )</f>
        <v>13286.638132654705</v>
      </c>
      <c r="O29" s="309"/>
      <c r="P29" s="307">
        <f xml:space="preserve"> SUM( I29:N29 )</f>
        <v>16384.869904957293</v>
      </c>
    </row>
    <row r="30" spans="5:17" ht="15" thickBot="1" x14ac:dyDescent="0.35">
      <c r="F30" s="223" t="s">
        <v>286</v>
      </c>
      <c r="G30" s="409" t="s">
        <v>616</v>
      </c>
      <c r="H30" s="391" t="s">
        <v>341</v>
      </c>
      <c r="I30" s="197">
        <f xml:space="preserve"> (-1) * INDEX( SplitScreenStrip!$G$68:$Y$71, MATCH( $F30, SplitScreenStrip!$F$68:$F$71, 0 ), MATCH( "–"&amp;I$27, SplitScreenStrip!$G$67:$Y$67, 0 ) )</f>
        <v>3750</v>
      </c>
      <c r="J30" s="195">
        <f xml:space="preserve"> (-1) * INDEX( SplitScreenStrip!$G$68:$Y$71, MATCH( $F30, SplitScreenStrip!$F$68:$F$71, 0 ), MATCH( "–"&amp;J$27, SplitScreenStrip!$G$67:$Y$67, 0 ) )</f>
        <v>-3330.6171232876673</v>
      </c>
      <c r="K30" s="195">
        <f xml:space="preserve"> (-1) * INDEX( SplitScreenStrip!$G$68:$Y$71, MATCH( $F30, SplitScreenStrip!$F$68:$F$71, 0 ), MATCH( "–"&amp;K$27, SplitScreenStrip!$G$67:$Y$67, 0 ) )</f>
        <v>-2985.5011739726046</v>
      </c>
      <c r="L30" s="195">
        <f xml:space="preserve"> (-1) * INDEX( SplitScreenStrip!$G$68:$Y$71, MATCH( $F30, SplitScreenStrip!$F$68:$F$71, 0 ), MATCH( "–"&amp;L$27, SplitScreenStrip!$G$67:$Y$67, 0 ) )</f>
        <v>-3688.4194438328814</v>
      </c>
      <c r="M30" s="195">
        <f xml:space="preserve"> (-1) * INDEX( SplitScreenStrip!$G$68:$Y$71, MATCH( $F30, SplitScreenStrip!$F$68:$F$71, 0 ), MATCH( "–"&amp;M$27, SplitScreenStrip!$G$67:$Y$67, 0 ) )</f>
        <v>-4453.4735386492721</v>
      </c>
      <c r="N30" s="267">
        <f xml:space="preserve"> (-1) * INDEX( SplitScreenStrip!$G$68:$Y$71, MATCH( $F30, SplitScreenStrip!$F$68:$F$71, 0 ), MATCH( "–"&amp;N$27, SplitScreenStrip!$G$67:$Y$67, 0 ) )</f>
        <v>11088.611596551451</v>
      </c>
      <c r="O30" s="309"/>
      <c r="P30" s="308">
        <f xml:space="preserve"> SUM( I30:N30 )</f>
        <v>380.60031680902466</v>
      </c>
      <c r="Q30" s="630"/>
    </row>
    <row r="31" spans="5:17" ht="15" thickBot="1" x14ac:dyDescent="0.35">
      <c r="G31" s="410" t="s">
        <v>524</v>
      </c>
      <c r="H31" s="385" t="s">
        <v>361</v>
      </c>
      <c r="I31" s="386">
        <f t="shared" ref="I31:N31" si="4" xml:space="preserve"> SUM( I29:I30 )</f>
        <v>-20000</v>
      </c>
      <c r="J31" s="387">
        <f t="shared" si="4"/>
        <v>2873.2750000000001</v>
      </c>
      <c r="K31" s="387">
        <f t="shared" si="4"/>
        <v>3011.324034931507</v>
      </c>
      <c r="L31" s="387">
        <f t="shared" si="4"/>
        <v>3165.2483899136987</v>
      </c>
      <c r="M31" s="387">
        <f t="shared" si="4"/>
        <v>3340.3730677149561</v>
      </c>
      <c r="N31" s="388">
        <f t="shared" si="4"/>
        <v>24375.249729206156</v>
      </c>
      <c r="O31" s="309"/>
      <c r="P31" s="384">
        <f xml:space="preserve"> SUM( I31:N31 )</f>
        <v>16765.470221766322</v>
      </c>
    </row>
    <row r="32" spans="5:17" s="62" customFormat="1" ht="4.8" thickBot="1" x14ac:dyDescent="0.35">
      <c r="H32" s="296"/>
      <c r="I32" s="295"/>
      <c r="J32" s="295"/>
      <c r="K32" s="295"/>
      <c r="L32" s="295"/>
      <c r="M32" s="295"/>
      <c r="N32" s="295"/>
      <c r="P32" s="295"/>
    </row>
    <row r="33" spans="1:19" ht="14.4" x14ac:dyDescent="0.3">
      <c r="F33" s="223" t="s">
        <v>284</v>
      </c>
      <c r="G33" s="408" t="s">
        <v>617</v>
      </c>
      <c r="H33" s="390" t="s">
        <v>342</v>
      </c>
      <c r="I33" s="198">
        <f xml:space="preserve"> (-1) * INDEX( SplitScreenStrip!$G$68:$Y$71, MATCH( $F33, SplitScreenStrip!$F$68:$F$71, 0 ), MATCH( "–"&amp;I$27, SplitScreenStrip!$G$67:$Y$67, 0 ) )</f>
        <v>-12000</v>
      </c>
      <c r="J33" s="194">
        <f xml:space="preserve"> (-1) * INDEX( SplitScreenStrip!$G$68:$Y$71, MATCH( $F33, SplitScreenStrip!$F$68:$F$71, 0 ), MATCH( "–"&amp;J$27, SplitScreenStrip!$G$67:$Y$67, 0 ) )</f>
        <v>2640</v>
      </c>
      <c r="K33" s="194">
        <f xml:space="preserve"> (-1) * INDEX( SplitScreenStrip!$G$68:$Y$71, MATCH( $F33, SplitScreenStrip!$F$68:$F$71, 0 ), MATCH( "–"&amp;K$27, SplitScreenStrip!$G$67:$Y$67, 0 ) )</f>
        <v>2592</v>
      </c>
      <c r="L33" s="194">
        <f xml:space="preserve"> (-1) * INDEX( SplitScreenStrip!$G$68:$Y$71, MATCH( $F33, SplitScreenStrip!$F$68:$F$71, 0 ), MATCH( "–"&amp;L$27, SplitScreenStrip!$G$67:$Y$67, 0 ) )</f>
        <v>2544</v>
      </c>
      <c r="M33" s="194">
        <f xml:space="preserve"> (-1) * INDEX( SplitScreenStrip!$G$68:$Y$71, MATCH( $F33, SplitScreenStrip!$F$68:$F$71, 0 ), MATCH( "–"&amp;M$27, SplitScreenStrip!$G$67:$Y$67, 0 ) )</f>
        <v>2496</v>
      </c>
      <c r="N33" s="266">
        <f xml:space="preserve"> (-1) * INDEX( SplitScreenStrip!$G$68:$Y$71, MATCH( $F33, SplitScreenStrip!$F$68:$F$71, 0 ), MATCH( "–"&amp;N$27, SplitScreenStrip!$G$67:$Y$67, 0 ) )</f>
        <v>2448</v>
      </c>
      <c r="O33" s="309"/>
      <c r="P33" s="307">
        <f xml:space="preserve"> SUM( I33:N33 )</f>
        <v>720</v>
      </c>
    </row>
    <row r="34" spans="1:19" ht="15" thickBot="1" x14ac:dyDescent="0.35">
      <c r="F34" s="223" t="s">
        <v>285</v>
      </c>
      <c r="G34" s="409" t="s">
        <v>135</v>
      </c>
      <c r="H34" s="391" t="s">
        <v>343</v>
      </c>
      <c r="I34" s="197">
        <f xml:space="preserve"> (-1) * INDEX( SplitScreenStrip!$G$68:$Y$71, MATCH( $F34, SplitScreenStrip!$F$68:$F$71, 0 ), MATCH( "–"&amp;I$27, SplitScreenStrip!$G$67:$Y$67, 0 ) )</f>
        <v>-8000</v>
      </c>
      <c r="J34" s="195">
        <f xml:space="preserve"> (-1) * INDEX( SplitScreenStrip!$G$68:$Y$71, MATCH( $F34, SplitScreenStrip!$F$68:$F$71, 0 ), MATCH( "–"&amp;J$27, SplitScreenStrip!$G$67:$Y$67, 0 ) )</f>
        <v>233.27500000000001</v>
      </c>
      <c r="K34" s="195">
        <f xml:space="preserve"> (-1) * INDEX( SplitScreenStrip!$G$68:$Y$71, MATCH( $F34, SplitScreenStrip!$F$68:$F$71, 0 ), MATCH( "–"&amp;K$27, SplitScreenStrip!$G$67:$Y$67, 0 ) )</f>
        <v>419.3240349315069</v>
      </c>
      <c r="L34" s="195">
        <f xml:space="preserve"> (-1) * INDEX( SplitScreenStrip!$G$68:$Y$71, MATCH( $F34, SplitScreenStrip!$F$68:$F$71, 0 ), MATCH( "–"&amp;L$27, SplitScreenStrip!$G$67:$Y$67, 0 ) )</f>
        <v>621.2483899136987</v>
      </c>
      <c r="M34" s="195">
        <f xml:space="preserve"> (-1) * INDEX( SplitScreenStrip!$G$68:$Y$71, MATCH( $F34, SplitScreenStrip!$F$68:$F$71, 0 ), MATCH( "–"&amp;M$27, SplitScreenStrip!$G$67:$Y$67, 0 ) )</f>
        <v>844.37306771495628</v>
      </c>
      <c r="N34" s="267">
        <f xml:space="preserve"> (-1) * INDEX( SplitScreenStrip!$G$68:$Y$71, MATCH( $F34, SplitScreenStrip!$F$68:$F$71, 0 ), MATCH( "–"&amp;N$27, SplitScreenStrip!$G$67:$Y$67, 0 ) )</f>
        <v>21927.249729206156</v>
      </c>
      <c r="O34" s="309"/>
      <c r="P34" s="308">
        <f xml:space="preserve"> SUM( I34:N34 )</f>
        <v>16045.470221766318</v>
      </c>
    </row>
    <row r="35" spans="1:19" ht="15" thickBot="1" x14ac:dyDescent="0.35">
      <c r="G35" s="410" t="s">
        <v>525</v>
      </c>
      <c r="H35" s="389" t="s">
        <v>362</v>
      </c>
      <c r="I35" s="386">
        <f t="shared" ref="I35:N35" si="5" xml:space="preserve"> SUM( I33:I34 )</f>
        <v>-20000</v>
      </c>
      <c r="J35" s="387">
        <f t="shared" si="5"/>
        <v>2873.2750000000001</v>
      </c>
      <c r="K35" s="387">
        <f t="shared" si="5"/>
        <v>3011.324034931507</v>
      </c>
      <c r="L35" s="387">
        <f t="shared" si="5"/>
        <v>3165.2483899136987</v>
      </c>
      <c r="M35" s="387">
        <f t="shared" si="5"/>
        <v>3340.3730677149561</v>
      </c>
      <c r="N35" s="388">
        <f t="shared" si="5"/>
        <v>24375.249729206156</v>
      </c>
      <c r="O35" s="309"/>
      <c r="P35" s="384">
        <f xml:space="preserve"> SUM( I35:N35 )</f>
        <v>16765.470221766322</v>
      </c>
    </row>
    <row r="37" spans="1:19" ht="13.8" thickBot="1" x14ac:dyDescent="0.35"/>
    <row r="38" spans="1:19" s="533" customFormat="1" ht="16.8" thickBot="1" x14ac:dyDescent="0.35">
      <c r="A38" s="532"/>
      <c r="B38" s="531"/>
      <c r="C38" s="531"/>
      <c r="D38" s="530"/>
      <c r="E38" s="531"/>
      <c r="F38" s="531"/>
      <c r="G38" s="532"/>
      <c r="H38" s="531" t="s">
        <v>671</v>
      </c>
    </row>
    <row r="39" spans="1:19" ht="13.8" thickBot="1" x14ac:dyDescent="0.35"/>
    <row r="40" spans="1:19" ht="16.8" thickBot="1" x14ac:dyDescent="0.35">
      <c r="G40" s="26" t="s">
        <v>630</v>
      </c>
      <c r="I40" s="331" t="s">
        <v>388</v>
      </c>
      <c r="J40" s="332" t="s">
        <v>439</v>
      </c>
      <c r="K40" s="332" t="s">
        <v>440</v>
      </c>
      <c r="L40" s="332" t="s">
        <v>441</v>
      </c>
      <c r="M40" s="332" t="s">
        <v>442</v>
      </c>
      <c r="N40" s="333" t="s">
        <v>443</v>
      </c>
      <c r="P40" s="881" t="s">
        <v>629</v>
      </c>
    </row>
    <row r="41" spans="1:19" s="62" customFormat="1" ht="4.8" thickBot="1" x14ac:dyDescent="0.35">
      <c r="I41" s="295"/>
      <c r="J41" s="295"/>
      <c r="K41" s="295"/>
      <c r="L41" s="295"/>
      <c r="M41" s="295"/>
      <c r="N41" s="295"/>
      <c r="P41" s="295"/>
    </row>
    <row r="42" spans="1:19" ht="14.4" x14ac:dyDescent="0.3">
      <c r="D42" s="223" t="s">
        <v>444</v>
      </c>
      <c r="G42" s="408" t="s">
        <v>638</v>
      </c>
      <c r="H42" s="353" t="s">
        <v>335</v>
      </c>
      <c r="I42" s="198">
        <f xml:space="preserve"> INDEX( SplitScreenStrip!$G$83:$Y$86, MATCH( $D42, SplitScreenStrip!$D$83:$D$86, 0 ), MATCH( I$40, SplitScreenStrip!$G$82:$Y$82, 0 ) )</f>
        <v>25497.512523568803</v>
      </c>
      <c r="J42" s="194">
        <f xml:space="preserve"> INDEX( SplitScreenStrip!$G$83:$Y$86, MATCH( $D42, SplitScreenStrip!$D$83:$D$86, 0 ), MATCH( J$40, SplitScreenStrip!$G$82:$Y$82, 0 ) )</f>
        <v>23118.247278816452</v>
      </c>
      <c r="K42" s="194">
        <f xml:space="preserve"> INDEX( SplitScreenStrip!$G$83:$Y$86, MATCH( $D42, SplitScreenStrip!$D$83:$D$86, 0 ), MATCH( K$40, SplitScreenStrip!$G$82:$Y$82, 0 ) )</f>
        <v>20589.159161734806</v>
      </c>
      <c r="L42" s="194">
        <f xml:space="preserve"> INDEX( SplitScreenStrip!$G$83:$Y$86, MATCH( $D42, SplitScreenStrip!$D$83:$D$86, 0 ), MATCH( L$40, SplitScreenStrip!$G$82:$Y$82, 0 ) )</f>
        <v>16823.865202248446</v>
      </c>
      <c r="M42" s="194">
        <f xml:space="preserve"> INDEX( SplitScreenStrip!$G$83:$Y$86, MATCH( $D42, SplitScreenStrip!$D$83:$D$86, 0 ), MATCH( M$40, SplitScreenStrip!$G$82:$Y$82, 0 ) )</f>
        <v>11553.598376221484</v>
      </c>
      <c r="N42" s="266">
        <f xml:space="preserve"> INDEX( SplitScreenStrip!$G$83:$Y$86, MATCH( $D42, SplitScreenStrip!$D$83:$D$86, 0 ), MATCH( N$40, SplitScreenStrip!$G$82:$Y$82, 0 ) )</f>
        <v>0</v>
      </c>
      <c r="P42" s="307">
        <f xml:space="preserve"> SUM( I42:N42 )</f>
        <v>97582.38254259</v>
      </c>
    </row>
    <row r="43" spans="1:19" ht="15" thickBot="1" x14ac:dyDescent="0.35">
      <c r="D43" s="223" t="s">
        <v>445</v>
      </c>
      <c r="G43" s="418" t="s">
        <v>639</v>
      </c>
      <c r="H43" s="354" t="s">
        <v>336</v>
      </c>
      <c r="I43" s="197">
        <f xml:space="preserve"> INDEX( SplitScreenStrip!$G$83:$Y$86, MATCH( $D43, SplitScreenStrip!$D$83:$D$86, 0 ), MATCH( I$40, SplitScreenStrip!$G$82:$Y$82, 0 ) )</f>
        <v>-3533.5263740797186</v>
      </c>
      <c r="J43" s="195">
        <f xml:space="preserve"> INDEX( SplitScreenStrip!$G$83:$Y$86, MATCH( $D43, SplitScreenStrip!$D$83:$D$86, 0 ), MATCH( J$40, SplitScreenStrip!$G$82:$Y$82, 0 ) )</f>
        <v>-238.24451453284823</v>
      </c>
      <c r="K43" s="195">
        <f xml:space="preserve"> INDEX( SplitScreenStrip!$G$83:$Y$86, MATCH( $D43, SplitScreenStrip!$D$83:$D$86, 0 ), MATCH( K$40, SplitScreenStrip!$G$82:$Y$82, 0 ) )</f>
        <v>2744.8742142944279</v>
      </c>
      <c r="L43" s="195">
        <f xml:space="preserve"> INDEX( SplitScreenStrip!$G$83:$Y$86, MATCH( $D43, SplitScreenStrip!$D$83:$D$86, 0 ), MATCH( L$40, SplitScreenStrip!$G$82:$Y$82, 0 ) )</f>
        <v>6460.7424002702537</v>
      </c>
      <c r="M43" s="195">
        <f xml:space="preserve"> INDEX( SplitScreenStrip!$G$83:$Y$86, MATCH( $D43, SplitScreenStrip!$D$83:$D$86, 0 ), MATCH( M$40, SplitScreenStrip!$G$82:$Y$82, 0 ) )</f>
        <v>10978.823362922229</v>
      </c>
      <c r="N43" s="267">
        <f xml:space="preserve"> INDEX( SplitScreenStrip!$G$83:$Y$86, MATCH( $D43, SplitScreenStrip!$D$83:$D$86, 0 ), MATCH( N$40, SplitScreenStrip!$G$82:$Y$82, 0 ) )</f>
        <v>0</v>
      </c>
      <c r="P43" s="308">
        <f xml:space="preserve"> SUM( I43:N43 )</f>
        <v>16412.669088874343</v>
      </c>
    </row>
    <row r="44" spans="1:19" ht="15" thickBot="1" x14ac:dyDescent="0.35">
      <c r="G44" s="408"/>
      <c r="H44" s="392" t="s">
        <v>339</v>
      </c>
      <c r="I44" s="393">
        <f t="shared" ref="I44:N44" si="6" xml:space="preserve"> SUM( I42:I43 )</f>
        <v>21963.986149489083</v>
      </c>
      <c r="J44" s="394">
        <f t="shared" si="6"/>
        <v>22880.002764283603</v>
      </c>
      <c r="K44" s="394">
        <f t="shared" si="6"/>
        <v>23334.033376029234</v>
      </c>
      <c r="L44" s="394">
        <f t="shared" si="6"/>
        <v>23284.607602518699</v>
      </c>
      <c r="M44" s="394">
        <f t="shared" si="6"/>
        <v>22532.421739143712</v>
      </c>
      <c r="N44" s="395">
        <f t="shared" si="6"/>
        <v>0</v>
      </c>
      <c r="P44" s="882">
        <f xml:space="preserve"> SUM( I44:N44 )</f>
        <v>113995.05163146432</v>
      </c>
    </row>
    <row r="45" spans="1:19" s="62" customFormat="1" ht="4.8" thickBot="1" x14ac:dyDescent="0.35">
      <c r="H45" s="296"/>
      <c r="I45" s="295"/>
      <c r="J45" s="295"/>
      <c r="K45" s="295"/>
      <c r="L45" s="295"/>
      <c r="M45" s="295"/>
      <c r="N45" s="295"/>
      <c r="P45" s="295"/>
    </row>
    <row r="46" spans="1:19" ht="14.4" x14ac:dyDescent="0.3">
      <c r="D46" s="223" t="s">
        <v>446</v>
      </c>
      <c r="G46" s="408" t="s">
        <v>640</v>
      </c>
      <c r="H46" s="353" t="s">
        <v>337</v>
      </c>
      <c r="I46" s="198">
        <f xml:space="preserve"> INDEX( SplitScreenStrip!$G$83:$Y$86, MATCH( $D46, SplitScreenStrip!$D$83:$D$86, 0 ), MATCH( I$40, SplitScreenStrip!$G$82:$Y$82, 0 ) )</f>
        <v>12173.884021634101</v>
      </c>
      <c r="J46" s="194">
        <f xml:space="preserve"> INDEX( SplitScreenStrip!$G$83:$Y$86, MATCH( $D46, SplitScreenStrip!$D$83:$D$86, 0 ), MATCH( J$40, SplitScreenStrip!$G$82:$Y$82, 0 ) )</f>
        <v>9716.4922819586118</v>
      </c>
      <c r="K46" s="194">
        <f xml:space="preserve"> INDEX( SplitScreenStrip!$G$83:$Y$86, MATCH( $D46, SplitScreenStrip!$D$83:$D$86, 0 ), MATCH( K$40, SplitScreenStrip!$G$82:$Y$82, 0 ) )</f>
        <v>7270.2396661879911</v>
      </c>
      <c r="L46" s="194">
        <f xml:space="preserve"> INDEX( SplitScreenStrip!$G$83:$Y$86, MATCH( $D46, SplitScreenStrip!$D$83:$D$86, 0 ), MATCH( L$40, SplitScreenStrip!$G$82:$Y$82, 0 ) )</f>
        <v>4835.2932611808101</v>
      </c>
      <c r="M46" s="194">
        <f xml:space="preserve"> INDEX( SplitScreenStrip!$G$83:$Y$86, MATCH( $D46, SplitScreenStrip!$D$83:$D$86, 0 ), MATCH( M$40, SplitScreenStrip!$G$82:$Y$82, 0 ) )</f>
        <v>2411.8226600985222</v>
      </c>
      <c r="N46" s="266">
        <f xml:space="preserve"> INDEX( SplitScreenStrip!$G$83:$Y$86, MATCH( $D46, SplitScreenStrip!$D$83:$D$86, 0 ), MATCH( N$40, SplitScreenStrip!$G$82:$Y$82, 0 ) )</f>
        <v>0</v>
      </c>
      <c r="P46" s="307">
        <f xml:space="preserve"> SUM( I46:N46 )</f>
        <v>36407.73189106003</v>
      </c>
    </row>
    <row r="47" spans="1:19" ht="15" thickBot="1" x14ac:dyDescent="0.35">
      <c r="D47" s="223" t="s">
        <v>447</v>
      </c>
      <c r="G47" s="418" t="s">
        <v>641</v>
      </c>
      <c r="H47" s="354" t="s">
        <v>338</v>
      </c>
      <c r="I47" s="197">
        <f xml:space="preserve"> INDEX( SplitScreenStrip!$G$83:$Y$86, MATCH( $D47, SplitScreenStrip!$D$83:$D$86, 0 ), MATCH( I$40, SplitScreenStrip!$G$82:$Y$82, 0 ) )</f>
        <v>9790.1021278549815</v>
      </c>
      <c r="J47" s="195">
        <f xml:space="preserve"> INDEX( SplitScreenStrip!$G$83:$Y$86, MATCH( $D47, SplitScreenStrip!$D$83:$D$86, 0 ), MATCH( J$40, SplitScreenStrip!$G$82:$Y$82, 0 ) )</f>
        <v>13163.510482324991</v>
      </c>
      <c r="K47" s="195">
        <f xml:space="preserve"> INDEX( SplitScreenStrip!$G$83:$Y$86, MATCH( $D47, SplitScreenStrip!$D$83:$D$86, 0 ), MATCH( K$40, SplitScreenStrip!$G$82:$Y$82, 0 ) )</f>
        <v>16063.793709841244</v>
      </c>
      <c r="L47" s="195">
        <f xml:space="preserve"> INDEX( SplitScreenStrip!$G$83:$Y$86, MATCH( $D47, SplitScreenStrip!$D$83:$D$86, 0 ), MATCH( L$40, SplitScreenStrip!$G$82:$Y$82, 0 ) )</f>
        <v>18449.314341337889</v>
      </c>
      <c r="M47" s="195">
        <f xml:space="preserve"> INDEX( SplitScreenStrip!$G$83:$Y$86, MATCH( $D47, SplitScreenStrip!$D$83:$D$86, 0 ), MATCH( M$40, SplitScreenStrip!$G$82:$Y$82, 0 ) )</f>
        <v>20120.599079045191</v>
      </c>
      <c r="N47" s="267">
        <f xml:space="preserve"> INDEX( SplitScreenStrip!$G$83:$Y$86, MATCH( $D47, SplitScreenStrip!$D$83:$D$86, 0 ), MATCH( N$40, SplitScreenStrip!$G$82:$Y$82, 0 ) )</f>
        <v>0</v>
      </c>
      <c r="P47" s="308">
        <f xml:space="preserve"> SUM( I47:N47 )</f>
        <v>77587.319740404302</v>
      </c>
      <c r="Q47" s="626"/>
      <c r="R47" s="626"/>
      <c r="S47" s="628"/>
    </row>
    <row r="48" spans="1:19" ht="15" thickBot="1" x14ac:dyDescent="0.35">
      <c r="G48" s="408"/>
      <c r="H48" s="396" t="s">
        <v>340</v>
      </c>
      <c r="I48" s="393">
        <f t="shared" ref="I48:N48" si="7" xml:space="preserve"> SUM( I46:I47 )</f>
        <v>21963.986149489083</v>
      </c>
      <c r="J48" s="394">
        <f t="shared" si="7"/>
        <v>22880.002764283603</v>
      </c>
      <c r="K48" s="394">
        <f t="shared" si="7"/>
        <v>23334.033376029234</v>
      </c>
      <c r="L48" s="394">
        <f t="shared" si="7"/>
        <v>23284.607602518699</v>
      </c>
      <c r="M48" s="394">
        <f t="shared" si="7"/>
        <v>22532.421739143712</v>
      </c>
      <c r="N48" s="395">
        <f t="shared" si="7"/>
        <v>0</v>
      </c>
      <c r="P48" s="882">
        <f xml:space="preserve"> SUM( I48:N48 )</f>
        <v>113995.05163146432</v>
      </c>
      <c r="Q48" s="626"/>
      <c r="R48" s="306"/>
      <c r="S48" s="629"/>
    </row>
    <row r="49" spans="5:18" ht="13.8" thickBot="1" x14ac:dyDescent="0.35">
      <c r="Q49" s="630"/>
      <c r="R49" s="627"/>
    </row>
    <row r="50" spans="5:18" ht="17.399999999999999" thickBot="1" x14ac:dyDescent="0.35">
      <c r="G50" s="26" t="s">
        <v>631</v>
      </c>
      <c r="H50" s="15"/>
      <c r="I50" s="334" t="s">
        <v>433</v>
      </c>
      <c r="J50" s="335" t="s">
        <v>434</v>
      </c>
      <c r="K50" s="335" t="s">
        <v>435</v>
      </c>
      <c r="L50" s="335" t="s">
        <v>436</v>
      </c>
      <c r="M50" s="335" t="s">
        <v>437</v>
      </c>
      <c r="N50" s="336" t="s">
        <v>438</v>
      </c>
      <c r="P50" s="397" t="s">
        <v>600</v>
      </c>
      <c r="R50" s="631"/>
    </row>
    <row r="51" spans="5:18" s="62" customFormat="1" ht="4.8" thickBot="1" x14ac:dyDescent="0.35">
      <c r="H51" s="25"/>
      <c r="I51" s="295"/>
      <c r="J51" s="295"/>
      <c r="K51" s="295"/>
      <c r="L51" s="295"/>
      <c r="M51" s="295"/>
      <c r="N51" s="295"/>
      <c r="P51" s="295"/>
    </row>
    <row r="52" spans="5:18" ht="14.4" x14ac:dyDescent="0.3">
      <c r="E52" s="223" t="s">
        <v>448</v>
      </c>
      <c r="G52" s="408"/>
      <c r="H52" s="337" t="s">
        <v>377</v>
      </c>
      <c r="I52" s="198">
        <f xml:space="preserve"> INDEX( SplitScreenStrip!$G$83:$Y$86, MATCH( $E52, SplitScreenStrip!$E$83:$E$86, 0 ), MATCH( "+"&amp;I$50, SplitScreenStrip!$G$82:$Y$82, 0 ) )</f>
        <v>0</v>
      </c>
      <c r="J52" s="194">
        <f xml:space="preserve"> INDEX( SplitScreenStrip!$G$83:$Y$86, MATCH( $E52, SplitScreenStrip!$E$83:$E$86, 0 ), MATCH( "+"&amp;J$50, SplitScreenStrip!$G$82:$Y$82, 0 ) )</f>
        <v>3824.6268785353204</v>
      </c>
      <c r="K52" s="194">
        <f xml:space="preserve"> INDEX( SplitScreenStrip!$G$83:$Y$86, MATCH( $E52, SplitScreenStrip!$E$83:$E$86, 0 ), MATCH( "+"&amp;K$50, SplitScreenStrip!$G$82:$Y$82, 0 ) )</f>
        <v>3467.7370918224678</v>
      </c>
      <c r="L52" s="194">
        <f xml:space="preserve"> INDEX( SplitScreenStrip!$G$83:$Y$86, MATCH( $E52, SplitScreenStrip!$E$83:$E$86, 0 ), MATCH( "+"&amp;L$50, SplitScreenStrip!$G$82:$Y$82, 0 ) )</f>
        <v>3088.3738742602209</v>
      </c>
      <c r="M52" s="194">
        <f xml:space="preserve"> INDEX( SplitScreenStrip!$G$83:$Y$86, MATCH( $E52, SplitScreenStrip!$E$83:$E$86, 0 ), MATCH( "+"&amp;M$50, SplitScreenStrip!$G$82:$Y$82, 0 ) )</f>
        <v>2523.5797803372666</v>
      </c>
      <c r="N52" s="266">
        <f xml:space="preserve"> INDEX( SplitScreenStrip!$G$83:$Y$86, MATCH( $E52, SplitScreenStrip!$E$83:$E$86, 0 ), MATCH( "+"&amp;N$50, SplitScreenStrip!$G$82:$Y$82, 0 ) )</f>
        <v>1733.0397564332225</v>
      </c>
      <c r="O52" s="309"/>
      <c r="P52" s="307">
        <f xml:space="preserve"> SUM( I52:N52 )</f>
        <v>14637.357381388498</v>
      </c>
      <c r="R52" s="631"/>
    </row>
    <row r="53" spans="5:18" ht="15" thickBot="1" x14ac:dyDescent="0.35">
      <c r="E53" s="223" t="s">
        <v>449</v>
      </c>
      <c r="G53" s="418"/>
      <c r="H53" s="338" t="s">
        <v>379</v>
      </c>
      <c r="I53" s="197">
        <f xml:space="preserve"> INDEX( SplitScreenStrip!$G$83:$Y$86, MATCH( $E53, SplitScreenStrip!$E$83:$E$86, 0 ), MATCH( "+"&amp;I$50, SplitScreenStrip!$G$82:$Y$82, 0 ) )</f>
        <v>0</v>
      </c>
      <c r="J53" s="195">
        <f xml:space="preserve"> INDEX( SplitScreenStrip!$G$83:$Y$86, MATCH( $E53, SplitScreenStrip!$E$83:$E$86, 0 ), MATCH( "+"&amp;J$50, SplitScreenStrip!$G$82:$Y$82, 0 ) )</f>
        <v>-35.335263740797188</v>
      </c>
      <c r="K53" s="195">
        <f xml:space="preserve"> INDEX( SplitScreenStrip!$G$83:$Y$86, MATCH( $E53, SplitScreenStrip!$E$83:$E$86, 0 ), MATCH( "+"&amp;K$50, SplitScreenStrip!$G$82:$Y$82, 0 ) )</f>
        <v>-2.3824451453284823</v>
      </c>
      <c r="L53" s="195">
        <f xml:space="preserve"> INDEX( SplitScreenStrip!$G$83:$Y$86, MATCH( $E53, SplitScreenStrip!$E$83:$E$86, 0 ), MATCH( "+"&amp;L$50, SplitScreenStrip!$G$82:$Y$82, 0 ) )</f>
        <v>27.44874214294428</v>
      </c>
      <c r="M53" s="195">
        <f xml:space="preserve"> INDEX( SplitScreenStrip!$G$83:$Y$86, MATCH( $E53, SplitScreenStrip!$E$83:$E$86, 0 ), MATCH( "+"&amp;M$50, SplitScreenStrip!$G$82:$Y$82, 0 ) )</f>
        <v>64.607424002702544</v>
      </c>
      <c r="N53" s="267">
        <f xml:space="preserve"> INDEX( SplitScreenStrip!$G$83:$Y$86, MATCH( $E53, SplitScreenStrip!$E$83:$E$86, 0 ), MATCH( "+"&amp;N$50, SplitScreenStrip!$G$82:$Y$82, 0 ) )</f>
        <v>109.78823362922229</v>
      </c>
      <c r="O53" s="309"/>
      <c r="P53" s="308">
        <f xml:space="preserve"> SUM( I53:N53 )</f>
        <v>164.12669088874344</v>
      </c>
    </row>
    <row r="54" spans="5:18" ht="15" thickBot="1" x14ac:dyDescent="0.35">
      <c r="G54" s="408"/>
      <c r="H54" s="398" t="s">
        <v>399</v>
      </c>
      <c r="I54" s="399">
        <f t="shared" ref="I54:N54" si="8" xml:space="preserve"> SUM( I52:I53 )</f>
        <v>0</v>
      </c>
      <c r="J54" s="400">
        <f t="shared" si="8"/>
        <v>3789.2916147945234</v>
      </c>
      <c r="K54" s="400">
        <f t="shared" si="8"/>
        <v>3465.3546466771395</v>
      </c>
      <c r="L54" s="400">
        <f t="shared" si="8"/>
        <v>3115.8226164031653</v>
      </c>
      <c r="M54" s="400">
        <f t="shared" si="8"/>
        <v>2588.187204339969</v>
      </c>
      <c r="N54" s="401">
        <f t="shared" si="8"/>
        <v>1842.8279900624448</v>
      </c>
      <c r="O54" s="309"/>
      <c r="P54" s="344">
        <f xml:space="preserve"> SUM( I54:N54 )</f>
        <v>14801.484072277242</v>
      </c>
      <c r="R54" s="306"/>
    </row>
    <row r="55" spans="5:18" s="62" customFormat="1" ht="4.8" thickBot="1" x14ac:dyDescent="0.35">
      <c r="H55" s="296"/>
      <c r="I55" s="295"/>
      <c r="J55" s="295"/>
      <c r="K55" s="295"/>
      <c r="L55" s="295"/>
      <c r="M55" s="295"/>
      <c r="N55" s="295"/>
      <c r="P55" s="295"/>
    </row>
    <row r="56" spans="5:18" ht="14.4" x14ac:dyDescent="0.3">
      <c r="E56" s="223" t="s">
        <v>450</v>
      </c>
      <c r="G56" s="408"/>
      <c r="H56" s="337" t="s">
        <v>381</v>
      </c>
      <c r="I56" s="198">
        <f xml:space="preserve"> INDEX( SplitScreenStrip!$G$83:$Y$86, MATCH( $E56, SplitScreenStrip!$E$83:$E$86, 0 ), MATCH( "+"&amp;I$50, SplitScreenStrip!$G$82:$Y$82, 0 ) )</f>
        <v>0</v>
      </c>
      <c r="J56" s="194">
        <f xml:space="preserve"> INDEX( SplitScreenStrip!$G$83:$Y$86, MATCH( $E56, SplitScreenStrip!$E$83:$E$86, 0 ), MATCH( "+"&amp;J$50, SplitScreenStrip!$G$82:$Y$82, 0 ) )</f>
        <v>182.60826032451152</v>
      </c>
      <c r="K56" s="194">
        <f xml:space="preserve"> INDEX( SplitScreenStrip!$G$83:$Y$86, MATCH( $E56, SplitScreenStrip!$E$83:$E$86, 0 ), MATCH( "+"&amp;K$50, SplitScreenStrip!$G$82:$Y$82, 0 ) )</f>
        <v>145.74738422937918</v>
      </c>
      <c r="L56" s="194">
        <f xml:space="preserve"> INDEX( SplitScreenStrip!$G$83:$Y$86, MATCH( $E56, SplitScreenStrip!$E$83:$E$86, 0 ), MATCH( "+"&amp;L$50, SplitScreenStrip!$G$82:$Y$82, 0 ) )</f>
        <v>109.05359499281987</v>
      </c>
      <c r="M56" s="194">
        <f xml:space="preserve"> INDEX( SplitScreenStrip!$G$83:$Y$86, MATCH( $E56, SplitScreenStrip!$E$83:$E$86, 0 ), MATCH( "+"&amp;M$50, SplitScreenStrip!$G$82:$Y$82, 0 ) )</f>
        <v>72.529398917712143</v>
      </c>
      <c r="N56" s="266">
        <f xml:space="preserve"> INDEX( SplitScreenStrip!$G$83:$Y$86, MATCH( $E56, SplitScreenStrip!$E$83:$E$86, 0 ), MATCH( "+"&amp;N$50, SplitScreenStrip!$G$82:$Y$82, 0 ) )</f>
        <v>36.177339901477829</v>
      </c>
      <c r="O56" s="309"/>
      <c r="P56" s="307">
        <f xml:space="preserve"> SUM( I56:N56 )</f>
        <v>546.11597836590045</v>
      </c>
    </row>
    <row r="57" spans="5:18" ht="15" thickBot="1" x14ac:dyDescent="0.35">
      <c r="E57" s="223" t="s">
        <v>451</v>
      </c>
      <c r="G57" s="418"/>
      <c r="H57" s="338" t="s">
        <v>383</v>
      </c>
      <c r="I57" s="197">
        <f xml:space="preserve"> INDEX( SplitScreenStrip!$G$83:$Y$86, MATCH( $E57, SplitScreenStrip!$E$83:$E$86, 0 ), MATCH( "+"&amp;I$50, SplitScreenStrip!$G$82:$Y$82, 0 ) )</f>
        <v>0</v>
      </c>
      <c r="J57" s="195">
        <f xml:space="preserve"> INDEX( SplitScreenStrip!$G$83:$Y$86, MATCH( $E57, SplitScreenStrip!$E$83:$E$86, 0 ), MATCH( "+"&amp;J$50, SplitScreenStrip!$G$82:$Y$82, 0 ) )</f>
        <v>3606.6833544700121</v>
      </c>
      <c r="K57" s="195">
        <f xml:space="preserve"> INDEX( SplitScreenStrip!$G$83:$Y$86, MATCH( $E57, SplitScreenStrip!$E$83:$E$86, 0 ), MATCH( "+"&amp;K$50, SplitScreenStrip!$G$82:$Y$82, 0 ) )</f>
        <v>3319.6072624477601</v>
      </c>
      <c r="L57" s="195">
        <f xml:space="preserve"> INDEX( SplitScreenStrip!$G$83:$Y$86, MATCH( $E57, SplitScreenStrip!$E$83:$E$86, 0 ), MATCH( "+"&amp;L$50, SplitScreenStrip!$G$82:$Y$82, 0 ) )</f>
        <v>3006.7690214103454</v>
      </c>
      <c r="M57" s="195">
        <f xml:space="preserve"> INDEX( SplitScreenStrip!$G$83:$Y$86, MATCH( $E57, SplitScreenStrip!$E$83:$E$86, 0 ), MATCH( "+"&amp;M$50, SplitScreenStrip!$G$82:$Y$82, 0 ) )</f>
        <v>2515.6578054222568</v>
      </c>
      <c r="N57" s="267">
        <f xml:space="preserve"> INDEX( SplitScreenStrip!$G$83:$Y$86, MATCH( $E57, SplitScreenStrip!$E$83:$E$86, 0 ), MATCH( "+"&amp;N$50, SplitScreenStrip!$G$82:$Y$82, 0 ) )</f>
        <v>1806.650650160967</v>
      </c>
      <c r="O57" s="309"/>
      <c r="P57" s="308">
        <f xml:space="preserve"> SUM( I57:N57 )</f>
        <v>14255.368093911342</v>
      </c>
    </row>
    <row r="58" spans="5:18" ht="15" thickBot="1" x14ac:dyDescent="0.35">
      <c r="G58" s="408"/>
      <c r="H58" s="402" t="s">
        <v>401</v>
      </c>
      <c r="I58" s="399">
        <f t="shared" ref="I58:N58" si="9" xml:space="preserve"> SUM( I56:I57 )</f>
        <v>0</v>
      </c>
      <c r="J58" s="400">
        <f t="shared" si="9"/>
        <v>3789.2916147945234</v>
      </c>
      <c r="K58" s="400">
        <f t="shared" si="9"/>
        <v>3465.3546466771395</v>
      </c>
      <c r="L58" s="400">
        <f t="shared" si="9"/>
        <v>3115.8226164031653</v>
      </c>
      <c r="M58" s="400">
        <f t="shared" si="9"/>
        <v>2588.187204339969</v>
      </c>
      <c r="N58" s="401">
        <f t="shared" si="9"/>
        <v>1842.8279900624448</v>
      </c>
      <c r="O58" s="309"/>
      <c r="P58" s="344">
        <f xml:space="preserve"> SUM( I58:N58 )</f>
        <v>14801.484072277242</v>
      </c>
    </row>
    <row r="59" spans="5:18" ht="13.8" thickBot="1" x14ac:dyDescent="0.35"/>
    <row r="60" spans="5:18" ht="17.399999999999999" thickBot="1" x14ac:dyDescent="0.35">
      <c r="G60" s="26" t="s">
        <v>632</v>
      </c>
      <c r="H60" s="15"/>
      <c r="I60" s="380" t="s">
        <v>421</v>
      </c>
      <c r="J60" s="381" t="s">
        <v>422</v>
      </c>
      <c r="K60" s="381" t="s">
        <v>423</v>
      </c>
      <c r="L60" s="381" t="s">
        <v>424</v>
      </c>
      <c r="M60" s="381" t="s">
        <v>425</v>
      </c>
      <c r="N60" s="382" t="s">
        <v>426</v>
      </c>
      <c r="P60" s="383" t="s">
        <v>598</v>
      </c>
    </row>
    <row r="61" spans="5:18" s="62" customFormat="1" ht="4.8" thickBot="1" x14ac:dyDescent="0.35">
      <c r="H61" s="25"/>
      <c r="I61" s="295"/>
      <c r="J61" s="295"/>
      <c r="K61" s="295"/>
      <c r="L61" s="295"/>
      <c r="M61" s="295"/>
      <c r="N61" s="295"/>
    </row>
    <row r="62" spans="5:18" ht="14.4" x14ac:dyDescent="0.3">
      <c r="F62" s="223" t="s">
        <v>452</v>
      </c>
      <c r="G62" s="408"/>
      <c r="H62" s="390" t="s">
        <v>427</v>
      </c>
      <c r="I62" s="198">
        <f xml:space="preserve"> (-1) * INDEX( SplitScreenStrip!$G$83:$Y$86, MATCH( $F62, SplitScreenStrip!$F$83:$F$86, 0 ), MATCH( "–"&amp;I$60, SplitScreenStrip!$G$82:$Y$82, 0 ) )</f>
        <v>-25497.512523568803</v>
      </c>
      <c r="J62" s="194">
        <f xml:space="preserve"> (-1) * INDEX( SplitScreenStrip!$G$83:$Y$86, MATCH( $F62, SplitScreenStrip!$F$83:$F$86, 0 ), MATCH( "–"&amp;J$60, SplitScreenStrip!$G$82:$Y$82, 0 ) )</f>
        <v>6203.8921232876673</v>
      </c>
      <c r="K62" s="194">
        <f xml:space="preserve"> (-1) * INDEX( SplitScreenStrip!$G$83:$Y$86, MATCH( $F62, SplitScreenStrip!$F$83:$F$86, 0 ), MATCH( "–"&amp;K$60, SplitScreenStrip!$G$82:$Y$82, 0 ) )</f>
        <v>5996.8252089041116</v>
      </c>
      <c r="L62" s="194">
        <f xml:space="preserve"> (-1) * INDEX( SplitScreenStrip!$G$83:$Y$86, MATCH( $F62, SplitScreenStrip!$F$83:$F$86, 0 ), MATCH( "–"&amp;L$60, SplitScreenStrip!$G$82:$Y$82, 0 ) )</f>
        <v>6853.6678337465801</v>
      </c>
      <c r="M62" s="194">
        <f xml:space="preserve"> (-1) * INDEX( SplitScreenStrip!$G$83:$Y$86, MATCH( $F62, SplitScreenStrip!$F$83:$F$86, 0 ), MATCH( "–"&amp;M$60, SplitScreenStrip!$G$82:$Y$82, 0 ) )</f>
        <v>7793.8466063642281</v>
      </c>
      <c r="N62" s="266">
        <f xml:space="preserve"> (-1) * INDEX( SplitScreenStrip!$G$83:$Y$86, MATCH( $F62, SplitScreenStrip!$F$83:$F$86, 0 ), MATCH( "–"&amp;N$60, SplitScreenStrip!$G$82:$Y$82, 0 ) )</f>
        <v>13286.638132654705</v>
      </c>
      <c r="O62" s="309"/>
      <c r="P62" s="307">
        <f xml:space="preserve"> SUM( I62:N62 )</f>
        <v>14637.35738138849</v>
      </c>
    </row>
    <row r="63" spans="5:18" ht="15" thickBot="1" x14ac:dyDescent="0.35">
      <c r="F63" s="223" t="s">
        <v>453</v>
      </c>
      <c r="G63" s="418"/>
      <c r="H63" s="391" t="s">
        <v>428</v>
      </c>
      <c r="I63" s="197">
        <f xml:space="preserve"> (-1) * INDEX( SplitScreenStrip!$G$83:$Y$86, MATCH( $F63, SplitScreenStrip!$F$83:$F$86, 0 ), MATCH( "–"&amp;I$60, SplitScreenStrip!$G$82:$Y$82, 0 ) )</f>
        <v>3533.5263740797186</v>
      </c>
      <c r="J63" s="195">
        <f xml:space="preserve"> (-1) * INDEX( SplitScreenStrip!$G$83:$Y$86, MATCH( $F63, SplitScreenStrip!$F$83:$F$86, 0 ), MATCH( "–"&amp;J$60, SplitScreenStrip!$G$82:$Y$82, 0 ) )</f>
        <v>-3330.6171232876673</v>
      </c>
      <c r="K63" s="195">
        <f xml:space="preserve"> (-1) * INDEX( SplitScreenStrip!$G$83:$Y$86, MATCH( $F63, SplitScreenStrip!$F$83:$F$86, 0 ), MATCH( "–"&amp;K$60, SplitScreenStrip!$G$82:$Y$82, 0 ) )</f>
        <v>-2985.5011739726046</v>
      </c>
      <c r="L63" s="195">
        <f xml:space="preserve"> (-1) * INDEX( SplitScreenStrip!$G$83:$Y$86, MATCH( $F63, SplitScreenStrip!$F$83:$F$86, 0 ), MATCH( "–"&amp;L$60, SplitScreenStrip!$G$82:$Y$82, 0 ) )</f>
        <v>-3688.4194438328814</v>
      </c>
      <c r="M63" s="195">
        <f xml:space="preserve"> (-1) * INDEX( SplitScreenStrip!$G$83:$Y$86, MATCH( $F63, SplitScreenStrip!$F$83:$F$86, 0 ), MATCH( "–"&amp;M$60, SplitScreenStrip!$G$82:$Y$82, 0 ) )</f>
        <v>-4453.4735386492721</v>
      </c>
      <c r="N63" s="267">
        <f xml:space="preserve"> (-1) * INDEX( SplitScreenStrip!$G$83:$Y$86, MATCH( $F63, SplitScreenStrip!$F$83:$F$86, 0 ), MATCH( "–"&amp;N$60, SplitScreenStrip!$G$82:$Y$82, 0 ) )</f>
        <v>11088.611596551451</v>
      </c>
      <c r="O63" s="309"/>
      <c r="P63" s="308">
        <f xml:space="preserve"> SUM( I63:N63 )</f>
        <v>164.12669088874463</v>
      </c>
    </row>
    <row r="64" spans="5:18" ht="15" thickBot="1" x14ac:dyDescent="0.35">
      <c r="G64" s="408"/>
      <c r="H64" s="385" t="s">
        <v>429</v>
      </c>
      <c r="I64" s="386">
        <f t="shared" ref="I64:N64" si="10" xml:space="preserve"> SUM( I62:I63 )</f>
        <v>-21963.986149489083</v>
      </c>
      <c r="J64" s="387">
        <f t="shared" si="10"/>
        <v>2873.2750000000001</v>
      </c>
      <c r="K64" s="387">
        <f t="shared" si="10"/>
        <v>3011.324034931507</v>
      </c>
      <c r="L64" s="387">
        <f t="shared" si="10"/>
        <v>3165.2483899136987</v>
      </c>
      <c r="M64" s="387">
        <f t="shared" si="10"/>
        <v>3340.3730677149561</v>
      </c>
      <c r="N64" s="388">
        <f t="shared" si="10"/>
        <v>24375.249729206156</v>
      </c>
      <c r="O64" s="309"/>
      <c r="P64" s="384">
        <f xml:space="preserve"> SUM( I64:N64 )</f>
        <v>14801.484072277237</v>
      </c>
    </row>
    <row r="65" spans="6:16" s="62" customFormat="1" ht="4.8" thickBot="1" x14ac:dyDescent="0.35">
      <c r="H65" s="296"/>
      <c r="I65" s="295"/>
      <c r="J65" s="295"/>
      <c r="K65" s="295"/>
      <c r="L65" s="295"/>
      <c r="M65" s="295"/>
      <c r="N65" s="295"/>
      <c r="P65" s="295"/>
    </row>
    <row r="66" spans="6:16" ht="14.4" x14ac:dyDescent="0.3">
      <c r="F66" s="223" t="s">
        <v>454</v>
      </c>
      <c r="G66" s="408"/>
      <c r="H66" s="390" t="s">
        <v>430</v>
      </c>
      <c r="I66" s="198">
        <f xml:space="preserve"> (-1) * INDEX( SplitScreenStrip!$G$83:$Y$86, MATCH( $F66, SplitScreenStrip!$F$83:$F$86, 0 ), MATCH( "–"&amp;I$60, SplitScreenStrip!$G$82:$Y$82, 0 ) )</f>
        <v>-12173.884021634101</v>
      </c>
      <c r="J66" s="194">
        <f xml:space="preserve"> (-1) * INDEX( SplitScreenStrip!$G$83:$Y$86, MATCH( $F66, SplitScreenStrip!$F$83:$F$86, 0 ), MATCH( "–"&amp;J$60, SplitScreenStrip!$G$82:$Y$82, 0 ) )</f>
        <v>2640</v>
      </c>
      <c r="K66" s="194">
        <f xml:space="preserve"> (-1) * INDEX( SplitScreenStrip!$G$83:$Y$86, MATCH( $F66, SplitScreenStrip!$F$83:$F$86, 0 ), MATCH( "–"&amp;K$60, SplitScreenStrip!$G$82:$Y$82, 0 ) )</f>
        <v>2592</v>
      </c>
      <c r="L66" s="194">
        <f xml:space="preserve"> (-1) * INDEX( SplitScreenStrip!$G$83:$Y$86, MATCH( $F66, SplitScreenStrip!$F$83:$F$86, 0 ), MATCH( "–"&amp;L$60, SplitScreenStrip!$G$82:$Y$82, 0 ) )</f>
        <v>2544</v>
      </c>
      <c r="M66" s="194">
        <f xml:space="preserve"> (-1) * INDEX( SplitScreenStrip!$G$83:$Y$86, MATCH( $F66, SplitScreenStrip!$F$83:$F$86, 0 ), MATCH( "–"&amp;M$60, SplitScreenStrip!$G$82:$Y$82, 0 ) )</f>
        <v>2496</v>
      </c>
      <c r="N66" s="266">
        <f xml:space="preserve"> (-1) * INDEX( SplitScreenStrip!$G$83:$Y$86, MATCH( $F66, SplitScreenStrip!$F$83:$F$86, 0 ), MATCH( "–"&amp;N$60, SplitScreenStrip!$G$82:$Y$82, 0 ) )</f>
        <v>2448</v>
      </c>
      <c r="O66" s="309"/>
      <c r="P66" s="307">
        <f xml:space="preserve"> SUM( I66:N66 )</f>
        <v>546.11597836589863</v>
      </c>
    </row>
    <row r="67" spans="6:16" ht="15" thickBot="1" x14ac:dyDescent="0.35">
      <c r="F67" s="223" t="s">
        <v>455</v>
      </c>
      <c r="G67" s="418"/>
      <c r="H67" s="391" t="s">
        <v>431</v>
      </c>
      <c r="I67" s="197">
        <f xml:space="preserve"> (-1) * INDEX( SplitScreenStrip!$G$83:$Y$86, MATCH( $F67, SplitScreenStrip!$F$83:$F$86, 0 ), MATCH( "–"&amp;I$60, SplitScreenStrip!$G$82:$Y$82, 0 ) )</f>
        <v>-9790.1021278549815</v>
      </c>
      <c r="J67" s="195">
        <f xml:space="preserve"> (-1) * INDEX( SplitScreenStrip!$G$83:$Y$86, MATCH( $F67, SplitScreenStrip!$F$83:$F$86, 0 ), MATCH( "–"&amp;J$60, SplitScreenStrip!$G$82:$Y$82, 0 ) )</f>
        <v>233.27500000000009</v>
      </c>
      <c r="K67" s="195">
        <f xml:space="preserve"> (-1) * INDEX( SplitScreenStrip!$G$83:$Y$86, MATCH( $F67, SplitScreenStrip!$F$83:$F$86, 0 ), MATCH( "–"&amp;K$60, SplitScreenStrip!$G$82:$Y$82, 0 ) )</f>
        <v>419.32403493150696</v>
      </c>
      <c r="L67" s="195">
        <f xml:space="preserve"> (-1) * INDEX( SplitScreenStrip!$G$83:$Y$86, MATCH( $F67, SplitScreenStrip!$F$83:$F$86, 0 ), MATCH( "–"&amp;L$60, SplitScreenStrip!$G$82:$Y$82, 0 ) )</f>
        <v>621.2483899136987</v>
      </c>
      <c r="M67" s="195">
        <f xml:space="preserve"> (-1) * INDEX( SplitScreenStrip!$G$83:$Y$86, MATCH( $F67, SplitScreenStrip!$F$83:$F$86, 0 ), MATCH( "–"&amp;M$60, SplitScreenStrip!$G$82:$Y$82, 0 ) )</f>
        <v>844.37306771495605</v>
      </c>
      <c r="N67" s="267">
        <f xml:space="preserve"> (-1) * INDEX( SplitScreenStrip!$G$83:$Y$86, MATCH( $F67, SplitScreenStrip!$F$83:$F$86, 0 ), MATCH( "–"&amp;N$60, SplitScreenStrip!$G$82:$Y$82, 0 ) )</f>
        <v>21927.249729206156</v>
      </c>
      <c r="O67" s="309"/>
      <c r="P67" s="308">
        <f xml:space="preserve"> SUM( I67:N67 )</f>
        <v>14255.368093911336</v>
      </c>
    </row>
    <row r="68" spans="6:16" ht="15" thickBot="1" x14ac:dyDescent="0.35">
      <c r="G68" s="408"/>
      <c r="H68" s="389" t="s">
        <v>432</v>
      </c>
      <c r="I68" s="386">
        <f t="shared" ref="I68:N68" si="11" xml:space="preserve"> SUM( I66:I67 )</f>
        <v>-21963.986149489083</v>
      </c>
      <c r="J68" s="387">
        <f t="shared" si="11"/>
        <v>2873.2750000000001</v>
      </c>
      <c r="K68" s="387">
        <f t="shared" si="11"/>
        <v>3011.324034931507</v>
      </c>
      <c r="L68" s="387">
        <f t="shared" si="11"/>
        <v>3165.2483899136987</v>
      </c>
      <c r="M68" s="387">
        <f t="shared" si="11"/>
        <v>3340.3730677149561</v>
      </c>
      <c r="N68" s="388">
        <f t="shared" si="11"/>
        <v>24375.249729206156</v>
      </c>
      <c r="O68" s="309"/>
      <c r="P68" s="384">
        <f xml:space="preserve"> SUM( I68:N68 )</f>
        <v>14801.484072277237</v>
      </c>
    </row>
  </sheetData>
  <mergeCells count="1">
    <mergeCell ref="R10:W10"/>
  </mergeCells>
  <phoneticPr fontId="55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38B77-BE06-4398-AAE5-6AECEE4A39EC}">
  <sheetPr codeName="Sheet7">
    <tabColor rgb="FFC00000"/>
  </sheetPr>
  <dimension ref="A1:Q66"/>
  <sheetViews>
    <sheetView zoomScaleNormal="100" workbookViewId="0">
      <pane xSplit="11" ySplit="5" topLeftCell="L18" activePane="bottomRight" state="frozen"/>
      <selection activeCell="L6" sqref="L6"/>
      <selection pane="topRight" activeCell="L6" sqref="L6"/>
      <selection pane="bottomLeft" activeCell="L6" sqref="L6"/>
      <selection pane="bottomRight" activeCell="I37" sqref="I37"/>
    </sheetView>
  </sheetViews>
  <sheetFormatPr defaultColWidth="9.109375" defaultRowHeight="13.2" x14ac:dyDescent="0.3"/>
  <cols>
    <col min="1" max="3" width="3.5546875" style="3" customWidth="1"/>
    <col min="4" max="4" width="8.5546875" style="2" customWidth="1"/>
    <col min="5" max="6" width="8.5546875" style="3" customWidth="1"/>
    <col min="7" max="7" width="3.5546875" style="3" customWidth="1"/>
    <col min="8" max="8" width="8.5546875" style="3" customWidth="1"/>
    <col min="9" max="9" width="47.109375" style="3" bestFit="1" customWidth="1"/>
    <col min="10" max="10" width="4.109375" style="3" customWidth="1"/>
    <col min="11" max="11" width="1.6640625" style="3" customWidth="1"/>
    <col min="12" max="12" width="12.88671875" style="10" customWidth="1"/>
    <col min="13" max="17" width="12.88671875" style="3" customWidth="1"/>
    <col min="18" max="16384" width="9.109375" style="3"/>
  </cols>
  <sheetData>
    <row r="1" spans="1:17" s="55" customFormat="1" ht="37.5" customHeight="1" x14ac:dyDescent="0.3">
      <c r="A1" s="57"/>
      <c r="B1" s="57"/>
      <c r="C1" s="57"/>
      <c r="D1" s="57"/>
      <c r="E1" s="57"/>
      <c r="F1" s="57"/>
      <c r="G1" s="57"/>
      <c r="H1" s="57"/>
      <c r="L1" s="56"/>
    </row>
    <row r="2" spans="1:17" s="53" customFormat="1" ht="10.199999999999999" x14ac:dyDescent="0.3">
      <c r="L2" s="54">
        <v>0</v>
      </c>
      <c r="M2" s="53">
        <v>1</v>
      </c>
      <c r="N2" s="53">
        <v>2</v>
      </c>
      <c r="O2" s="53">
        <v>3</v>
      </c>
      <c r="P2" s="53">
        <v>4</v>
      </c>
      <c r="Q2" s="53">
        <v>5</v>
      </c>
    </row>
    <row r="3" spans="1:17" s="50" customFormat="1" ht="8.4" thickBot="1" x14ac:dyDescent="0.35">
      <c r="L3" s="52"/>
      <c r="M3" s="51"/>
      <c r="N3" s="51"/>
      <c r="O3" s="51"/>
      <c r="P3" s="51"/>
      <c r="Q3" s="51"/>
    </row>
    <row r="4" spans="1:17" s="47" customFormat="1" ht="13.8" thickBot="1" x14ac:dyDescent="0.35">
      <c r="D4" s="405" t="s">
        <v>1</v>
      </c>
      <c r="E4" s="403" t="s">
        <v>2</v>
      </c>
      <c r="F4" s="404" t="s">
        <v>3</v>
      </c>
      <c r="G4" s="49"/>
      <c r="H4" s="49"/>
      <c r="I4" s="229" t="s">
        <v>34</v>
      </c>
      <c r="J4" s="187" t="s">
        <v>32</v>
      </c>
      <c r="L4" s="48">
        <v>2022</v>
      </c>
      <c r="M4" s="47">
        <v>2023</v>
      </c>
      <c r="N4" s="47">
        <v>2024</v>
      </c>
      <c r="O4" s="47">
        <v>2025</v>
      </c>
      <c r="P4" s="47">
        <v>2026</v>
      </c>
      <c r="Q4" s="47">
        <v>2027</v>
      </c>
    </row>
    <row r="5" spans="1:17" s="33" customFormat="1" ht="6.6" x14ac:dyDescent="0.3">
      <c r="A5" s="37"/>
      <c r="B5" s="37"/>
      <c r="C5" s="37"/>
      <c r="D5" s="37"/>
      <c r="E5" s="37"/>
      <c r="F5" s="37"/>
      <c r="G5" s="37"/>
      <c r="H5" s="37"/>
      <c r="I5" s="38"/>
      <c r="J5" s="37"/>
      <c r="K5" s="36"/>
      <c r="L5" s="35"/>
      <c r="M5" s="34"/>
      <c r="N5" s="34"/>
      <c r="O5" s="34"/>
      <c r="P5" s="34"/>
      <c r="Q5" s="34"/>
    </row>
    <row r="6" spans="1:17" s="11" customFormat="1" x14ac:dyDescent="0.3">
      <c r="A6" s="15"/>
      <c r="B6" s="15"/>
      <c r="C6" s="15"/>
      <c r="D6" s="16"/>
      <c r="E6" s="15"/>
      <c r="F6" s="15"/>
      <c r="G6" s="15"/>
      <c r="H6" s="15"/>
      <c r="J6" s="32"/>
      <c r="L6" s="12"/>
    </row>
    <row r="7" spans="1:17" s="360" customFormat="1" ht="18.600000000000001" x14ac:dyDescent="0.3">
      <c r="A7" s="355"/>
      <c r="B7" s="355"/>
      <c r="C7" s="355"/>
      <c r="D7" s="355"/>
      <c r="E7" s="355"/>
      <c r="F7" s="355"/>
      <c r="G7" s="355"/>
      <c r="H7" s="355"/>
      <c r="I7" s="356" t="s">
        <v>202</v>
      </c>
      <c r="J7" s="355"/>
      <c r="K7" s="357"/>
      <c r="L7" s="358" t="s">
        <v>4</v>
      </c>
      <c r="M7" s="359" t="s">
        <v>5</v>
      </c>
      <c r="N7" s="359" t="s">
        <v>6</v>
      </c>
      <c r="O7" s="359" t="s">
        <v>7</v>
      </c>
      <c r="P7" s="359" t="s">
        <v>8</v>
      </c>
      <c r="Q7" s="359" t="s">
        <v>9</v>
      </c>
    </row>
    <row r="8" spans="1:17" s="33" customFormat="1" ht="6.6" x14ac:dyDescent="0.3">
      <c r="A8" s="37"/>
      <c r="B8" s="37"/>
      <c r="C8" s="37"/>
      <c r="D8" s="37"/>
      <c r="E8" s="37"/>
      <c r="F8" s="37"/>
      <c r="G8" s="37"/>
      <c r="H8" s="37"/>
      <c r="I8" s="38"/>
      <c r="J8" s="37"/>
      <c r="K8" s="36"/>
      <c r="L8" s="35"/>
      <c r="M8" s="34"/>
      <c r="N8" s="34"/>
      <c r="O8" s="34"/>
      <c r="P8" s="34"/>
      <c r="Q8" s="34"/>
    </row>
    <row r="9" spans="1:17" s="39" customFormat="1" ht="14.4" x14ac:dyDescent="0.3">
      <c r="A9" s="158"/>
      <c r="B9" s="158"/>
      <c r="C9" s="158"/>
      <c r="D9" s="218"/>
      <c r="E9" s="170"/>
      <c r="F9" s="170"/>
      <c r="G9" s="170"/>
      <c r="H9" s="171" t="s">
        <v>367</v>
      </c>
      <c r="I9" s="172" t="s">
        <v>201</v>
      </c>
      <c r="J9" s="41" t="s">
        <v>21</v>
      </c>
      <c r="L9" s="40">
        <f t="shared" ref="L9:Q9" si="0" xml:space="preserve"> L10 + L18</f>
        <v>23750</v>
      </c>
      <c r="M9" s="39">
        <f t="shared" si="0"/>
        <v>19046.232876712329</v>
      </c>
      <c r="N9" s="39">
        <f t="shared" si="0"/>
        <v>15350.856164383564</v>
      </c>
      <c r="O9" s="39">
        <f t="shared" si="0"/>
        <v>11685.941780821917</v>
      </c>
      <c r="P9" s="39">
        <f t="shared" si="0"/>
        <v>8054.7243150684935</v>
      </c>
      <c r="Q9" s="39">
        <f t="shared" si="0"/>
        <v>0</v>
      </c>
    </row>
    <row r="10" spans="1:17" s="176" customFormat="1" x14ac:dyDescent="0.3">
      <c r="A10" s="169"/>
      <c r="B10" s="169"/>
      <c r="C10" s="169"/>
      <c r="D10" s="219"/>
      <c r="E10" s="173"/>
      <c r="F10" s="174"/>
      <c r="G10" s="174"/>
      <c r="H10" s="164" t="s">
        <v>167</v>
      </c>
      <c r="I10" s="175" t="s">
        <v>200</v>
      </c>
      <c r="J10" s="177" t="s">
        <v>21</v>
      </c>
      <c r="L10" s="178">
        <f t="shared" ref="L10:Q10" si="1" xml:space="preserve"> SUM( L11:L17 )</f>
        <v>3750</v>
      </c>
      <c r="M10" s="176">
        <f xml:space="preserve"> SUM( M11:M17 )</f>
        <v>3046.2328767123281</v>
      </c>
      <c r="N10" s="176">
        <f t="shared" si="1"/>
        <v>3350.8561643835633</v>
      </c>
      <c r="O10" s="176">
        <f t="shared" si="1"/>
        <v>3685.9417808219173</v>
      </c>
      <c r="P10" s="176">
        <f t="shared" si="1"/>
        <v>4054.724315068494</v>
      </c>
      <c r="Q10" s="176">
        <f t="shared" si="1"/>
        <v>0</v>
      </c>
    </row>
    <row r="11" spans="1:17" s="182" customFormat="1" x14ac:dyDescent="0.3">
      <c r="A11" s="160"/>
      <c r="B11" s="160"/>
      <c r="C11" s="160"/>
      <c r="D11" s="220" t="s">
        <v>10</v>
      </c>
      <c r="E11" s="179"/>
      <c r="F11" s="179"/>
      <c r="G11" s="179"/>
      <c r="H11" s="164" t="s">
        <v>10</v>
      </c>
      <c r="I11" s="180" t="s">
        <v>190</v>
      </c>
      <c r="J11" s="14" t="s">
        <v>21</v>
      </c>
      <c r="K11" s="181"/>
      <c r="L11" s="161">
        <f xml:space="preserve"> INDEX( SplitScreenStrip!$13:$23, MATCH( $D11, SplitScreenStrip!$D$13:$D$23, 0 ), MATCH( L$7, SplitScreenStrip!$12:$12, 0 ) )</f>
        <v>0</v>
      </c>
      <c r="M11" s="162">
        <f xml:space="preserve"> INDEX( SplitScreenStrip!$13:$23, MATCH( $D11, SplitScreenStrip!$D$13:$D$23, 0 ), MATCH( M$7, SplitScreenStrip!$12:$12, 0 ) )</f>
        <v>4931.5068493150684</v>
      </c>
      <c r="N11" s="162">
        <f xml:space="preserve"> INDEX( SplitScreenStrip!$13:$23, MATCH( $D11, SplitScreenStrip!$D$13:$D$23, 0 ), MATCH( N$7, SplitScreenStrip!$12:$12, 0 ) )</f>
        <v>5424.6575342465758</v>
      </c>
      <c r="O11" s="162">
        <f xml:space="preserve"> INDEX( SplitScreenStrip!$13:$23, MATCH( $D11, SplitScreenStrip!$D$13:$D$23, 0 ), MATCH( O$7, SplitScreenStrip!$12:$12, 0 ) )</f>
        <v>5967.1232876712329</v>
      </c>
      <c r="P11" s="162">
        <f xml:space="preserve"> INDEX( SplitScreenStrip!$13:$23, MATCH( $D11, SplitScreenStrip!$D$13:$D$23, 0 ), MATCH( P$7, SplitScreenStrip!$12:$12, 0 ) )</f>
        <v>6563.8356164383567</v>
      </c>
      <c r="Q11" s="162">
        <f xml:space="preserve"> INDEX( SplitScreenStrip!$13:$23, MATCH( $D11, SplitScreenStrip!$D$13:$D$23, 0 ), MATCH( Q$7, SplitScreenStrip!$12:$12, 0 ) )</f>
        <v>0</v>
      </c>
    </row>
    <row r="12" spans="1:17" s="182" customFormat="1" x14ac:dyDescent="0.3">
      <c r="A12" s="160"/>
      <c r="B12" s="160"/>
      <c r="C12" s="160"/>
      <c r="D12" s="220" t="s">
        <v>12</v>
      </c>
      <c r="E12" s="179"/>
      <c r="F12" s="179"/>
      <c r="G12" s="179"/>
      <c r="H12" s="164" t="s">
        <v>12</v>
      </c>
      <c r="I12" s="180" t="s">
        <v>52</v>
      </c>
      <c r="J12" s="14" t="s">
        <v>21</v>
      </c>
      <c r="K12" s="181"/>
      <c r="L12" s="161">
        <f xml:space="preserve"> INDEX( SplitScreenStrip!$13:$23, MATCH( $D12, SplitScreenStrip!$D$13:$D$23, 0 ), MATCH( L$7, SplitScreenStrip!$12:$12, 0 ) )</f>
        <v>3750</v>
      </c>
      <c r="M12" s="162">
        <f xml:space="preserve"> INDEX( SplitScreenStrip!$13:$23, MATCH( $D12, SplitScreenStrip!$D$13:$D$23, 0 ), MATCH( M$7, SplitScreenStrip!$12:$12, 0 ) )</f>
        <v>4125</v>
      </c>
      <c r="N12" s="162">
        <f xml:space="preserve"> INDEX( SplitScreenStrip!$13:$23, MATCH( $D12, SplitScreenStrip!$D$13:$D$23, 0 ), MATCH( N$7, SplitScreenStrip!$12:$12, 0 ) )</f>
        <v>4537.5</v>
      </c>
      <c r="O12" s="162">
        <f xml:space="preserve"> INDEX( SplitScreenStrip!$13:$23, MATCH( $D12, SplitScreenStrip!$D$13:$D$23, 0 ), MATCH( O$7, SplitScreenStrip!$12:$12, 0 ) )</f>
        <v>4991.25</v>
      </c>
      <c r="P12" s="162">
        <f xml:space="preserve"> INDEX( SplitScreenStrip!$13:$23, MATCH( $D12, SplitScreenStrip!$D$13:$D$23, 0 ), MATCH( P$7, SplitScreenStrip!$12:$12, 0 ) )</f>
        <v>5490.625</v>
      </c>
      <c r="Q12" s="162">
        <f xml:space="preserve"> INDEX( SplitScreenStrip!$13:$23, MATCH( $D12, SplitScreenStrip!$D$13:$D$23, 0 ), MATCH( Q$7, SplitScreenStrip!$12:$12, 0 ) )</f>
        <v>0</v>
      </c>
    </row>
    <row r="13" spans="1:17" s="182" customFormat="1" ht="14.4" x14ac:dyDescent="0.3">
      <c r="A13" s="160"/>
      <c r="B13" s="160"/>
      <c r="C13" s="160"/>
      <c r="D13" s="220" t="s">
        <v>263</v>
      </c>
      <c r="E13" s="179"/>
      <c r="F13" s="179"/>
      <c r="G13" s="179"/>
      <c r="H13" s="164" t="s">
        <v>172</v>
      </c>
      <c r="I13" s="180" t="s">
        <v>111</v>
      </c>
      <c r="J13" s="14" t="s">
        <v>21</v>
      </c>
      <c r="K13" s="181"/>
      <c r="L13" s="161">
        <f xml:space="preserve"> INDEX( SplitScreenStrip!$13:$23, MATCH( $D13, SplitScreenStrip!$D$13:$D$23, 0 ), MATCH( L$7, SplitScreenStrip!$12:$12, 0 ) )</f>
        <v>0</v>
      </c>
      <c r="M13" s="162">
        <f xml:space="preserve"> INDEX( SplitScreenStrip!$13:$23, MATCH( $D13, SplitScreenStrip!$D$13:$D$23, 0 ), MATCH( M$7, SplitScreenStrip!$12:$12, 0 ) )</f>
        <v>-3791.0958904109589</v>
      </c>
      <c r="N13" s="162">
        <f xml:space="preserve"> INDEX( SplitScreenStrip!$13:$23, MATCH( $D13, SplitScreenStrip!$D$13:$D$23, 0 ), MATCH( N$7, SplitScreenStrip!$12:$12, 0 ) )</f>
        <v>-4170.2054794520545</v>
      </c>
      <c r="O13" s="162">
        <f xml:space="preserve"> INDEX( SplitScreenStrip!$13:$23, MATCH( $D13, SplitScreenStrip!$D$13:$D$23, 0 ), MATCH( O$7, SplitScreenStrip!$12:$12, 0 ) )</f>
        <v>-4587.2260273972606</v>
      </c>
      <c r="P13" s="162">
        <f xml:space="preserve"> INDEX( SplitScreenStrip!$13:$23, MATCH( $D13, SplitScreenStrip!$D$13:$D$23, 0 ), MATCH( P$7, SplitScreenStrip!$12:$12, 0 ) )</f>
        <v>-5046.0102739726026</v>
      </c>
      <c r="Q13" s="162">
        <f xml:space="preserve"> INDEX( SplitScreenStrip!$13:$23, MATCH( $D13, SplitScreenStrip!$D$13:$D$23, 0 ), MATCH( Q$7, SplitScreenStrip!$12:$12, 0 ) )</f>
        <v>0</v>
      </c>
    </row>
    <row r="14" spans="1:17" s="182" customFormat="1" ht="14.4" x14ac:dyDescent="0.3">
      <c r="A14" s="160"/>
      <c r="B14" s="160"/>
      <c r="C14" s="160"/>
      <c r="D14" s="220" t="s">
        <v>264</v>
      </c>
      <c r="E14" s="179"/>
      <c r="F14" s="179"/>
      <c r="G14" s="179"/>
      <c r="H14" s="164" t="s">
        <v>173</v>
      </c>
      <c r="I14" s="180" t="s">
        <v>112</v>
      </c>
      <c r="J14" s="14" t="s">
        <v>21</v>
      </c>
      <c r="K14" s="181"/>
      <c r="L14" s="161">
        <f xml:space="preserve"> INDEX( SplitScreenStrip!$13:$23, MATCH( $D14, SplitScreenStrip!$D$13:$D$23, 0 ), MATCH( L$7, SplitScreenStrip!$12:$12, 0 ) )</f>
        <v>0</v>
      </c>
      <c r="M14" s="162">
        <f xml:space="preserve"> INDEX( SplitScreenStrip!$13:$23, MATCH( $D14, SplitScreenStrip!$D$13:$D$23, 0 ), MATCH( M$7, SplitScreenStrip!$12:$12, 0 ) )</f>
        <v>-2219.178082191781</v>
      </c>
      <c r="N14" s="162">
        <f xml:space="preserve"> INDEX( SplitScreenStrip!$13:$23, MATCH( $D14, SplitScreenStrip!$D$13:$D$23, 0 ), MATCH( N$7, SplitScreenStrip!$12:$12, 0 ) )</f>
        <v>-2441.0958904109589</v>
      </c>
      <c r="O14" s="162">
        <f xml:space="preserve"> INDEX( SplitScreenStrip!$13:$23, MATCH( $D14, SplitScreenStrip!$D$13:$D$23, 0 ), MATCH( O$7, SplitScreenStrip!$12:$12, 0 ) )</f>
        <v>-2685.205479452055</v>
      </c>
      <c r="P14" s="162">
        <f xml:space="preserve"> INDEX( SplitScreenStrip!$13:$23, MATCH( $D14, SplitScreenStrip!$D$13:$D$23, 0 ), MATCH( P$7, SplitScreenStrip!$12:$12, 0 ) )</f>
        <v>-2953.7260273972602</v>
      </c>
      <c r="Q14" s="162">
        <f xml:space="preserve"> INDEX( SplitScreenStrip!$13:$23, MATCH( $D14, SplitScreenStrip!$D$13:$D$23, 0 ), MATCH( Q$7, SplitScreenStrip!$12:$12, 0 ) )</f>
        <v>0</v>
      </c>
    </row>
    <row r="15" spans="1:17" s="182" customFormat="1" ht="14.4" x14ac:dyDescent="0.3">
      <c r="A15" s="160"/>
      <c r="B15" s="160"/>
      <c r="C15" s="160"/>
      <c r="D15" s="220" t="s">
        <v>265</v>
      </c>
      <c r="E15" s="179"/>
      <c r="F15" s="179"/>
      <c r="G15" s="179"/>
      <c r="H15" s="164" t="s">
        <v>174</v>
      </c>
      <c r="I15" s="180" t="s">
        <v>189</v>
      </c>
      <c r="J15" s="14" t="s">
        <v>21</v>
      </c>
      <c r="K15" s="181"/>
      <c r="L15" s="161">
        <f xml:space="preserve"> INDEX( SplitScreenStrip!$13:$23, MATCH( $D15, SplitScreenStrip!$D$13:$D$23, 0 ), MATCH( L$7, SplitScreenStrip!$12:$12, 0 ) )</f>
        <v>0</v>
      </c>
      <c r="M15" s="162">
        <f xml:space="preserve"> INDEX( SplitScreenStrip!$13:$23, MATCH( $D15, SplitScreenStrip!$D$13:$D$23, 0 ), MATCH( M$7, SplitScreenStrip!$12:$12, 0 ) )</f>
        <v>0</v>
      </c>
      <c r="N15" s="162">
        <f xml:space="preserve"> INDEX( SplitScreenStrip!$13:$23, MATCH( $D15, SplitScreenStrip!$D$13:$D$23, 0 ), MATCH( N$7, SplitScreenStrip!$12:$12, 0 ) )</f>
        <v>0</v>
      </c>
      <c r="O15" s="162">
        <f xml:space="preserve"> INDEX( SplitScreenStrip!$13:$23, MATCH( $D15, SplitScreenStrip!$D$13:$D$23, 0 ), MATCH( O$7, SplitScreenStrip!$12:$12, 0 ) )</f>
        <v>0</v>
      </c>
      <c r="P15" s="162">
        <f xml:space="preserve"> INDEX( SplitScreenStrip!$13:$23, MATCH( $D15, SplitScreenStrip!$D$13:$D$23, 0 ), MATCH( P$7, SplitScreenStrip!$12:$12, 0 ) )</f>
        <v>0</v>
      </c>
      <c r="Q15" s="162">
        <f xml:space="preserve"> INDEX( SplitScreenStrip!$13:$23, MATCH( $D15, SplitScreenStrip!$D$13:$D$23, 0 ), MATCH( Q$7, SplitScreenStrip!$12:$12, 0 ) )</f>
        <v>0</v>
      </c>
    </row>
    <row r="16" spans="1:17" s="182" customFormat="1" ht="14.4" x14ac:dyDescent="0.3">
      <c r="A16" s="160"/>
      <c r="B16" s="160"/>
      <c r="C16" s="160"/>
      <c r="D16" s="220" t="s">
        <v>266</v>
      </c>
      <c r="E16" s="179"/>
      <c r="F16" s="179"/>
      <c r="G16" s="179"/>
      <c r="H16" s="164" t="s">
        <v>175</v>
      </c>
      <c r="I16" s="180" t="s">
        <v>115</v>
      </c>
      <c r="J16" s="14" t="s">
        <v>21</v>
      </c>
      <c r="K16" s="181"/>
      <c r="L16" s="161">
        <f xml:space="preserve"> INDEX( SplitScreenStrip!$13:$23, MATCH( $D16, SplitScreenStrip!$D$13:$D$23, 0 ), MATCH( L$7, SplitScreenStrip!$12:$12, 0 ) )</f>
        <v>0</v>
      </c>
      <c r="M16" s="162">
        <f xml:space="preserve"> INDEX( SplitScreenStrip!$13:$23, MATCH( $D16, SplitScreenStrip!$D$13:$D$23, 0 ), MATCH( M$7, SplitScreenStrip!$12:$12, 0 ) )</f>
        <v>0</v>
      </c>
      <c r="N16" s="162">
        <f xml:space="preserve"> INDEX( SplitScreenStrip!$13:$23, MATCH( $D16, SplitScreenStrip!$D$13:$D$23, 0 ), MATCH( N$7, SplitScreenStrip!$12:$12, 0 ) )</f>
        <v>0</v>
      </c>
      <c r="O16" s="162">
        <f xml:space="preserve"> INDEX( SplitScreenStrip!$13:$23, MATCH( $D16, SplitScreenStrip!$D$13:$D$23, 0 ), MATCH( O$7, SplitScreenStrip!$12:$12, 0 ) )</f>
        <v>0</v>
      </c>
      <c r="P16" s="162">
        <f xml:space="preserve"> INDEX( SplitScreenStrip!$13:$23, MATCH( $D16, SplitScreenStrip!$D$13:$D$23, 0 ), MATCH( P$7, SplitScreenStrip!$12:$12, 0 ) )</f>
        <v>0</v>
      </c>
      <c r="Q16" s="162">
        <f xml:space="preserve"> INDEX( SplitScreenStrip!$13:$23, MATCH( $D16, SplitScreenStrip!$D$13:$D$23, 0 ), MATCH( Q$7, SplitScreenStrip!$12:$12, 0 ) )</f>
        <v>0</v>
      </c>
    </row>
    <row r="17" spans="1:17" s="182" customFormat="1" x14ac:dyDescent="0.3">
      <c r="A17" s="160"/>
      <c r="B17" s="160"/>
      <c r="C17" s="160"/>
      <c r="D17" s="220" t="s">
        <v>16</v>
      </c>
      <c r="E17" s="179"/>
      <c r="F17" s="179"/>
      <c r="G17" s="179"/>
      <c r="H17" s="164" t="s">
        <v>16</v>
      </c>
      <c r="I17" s="180" t="s">
        <v>55</v>
      </c>
      <c r="J17" s="14" t="s">
        <v>21</v>
      </c>
      <c r="K17" s="181"/>
      <c r="L17" s="161">
        <f xml:space="preserve"> INDEX( SplitScreenStrip!$13:$23, MATCH( $D17, SplitScreenStrip!$D$13:$D$23, 0 ), MATCH( L$7, SplitScreenStrip!$12:$12, 0 ) )</f>
        <v>0</v>
      </c>
      <c r="M17" s="162">
        <f xml:space="preserve"> INDEX( SplitScreenStrip!$13:$23, MATCH( $D17, SplitScreenStrip!$D$13:$D$23, 0 ), MATCH( M$7, SplitScreenStrip!$12:$12, 0 ) )</f>
        <v>0</v>
      </c>
      <c r="N17" s="162">
        <f xml:space="preserve"> INDEX( SplitScreenStrip!$13:$23, MATCH( $D17, SplitScreenStrip!$D$13:$D$23, 0 ), MATCH( N$7, SplitScreenStrip!$12:$12, 0 ) )</f>
        <v>0</v>
      </c>
      <c r="O17" s="162">
        <f xml:space="preserve"> INDEX( SplitScreenStrip!$13:$23, MATCH( $D17, SplitScreenStrip!$D$13:$D$23, 0 ), MATCH( O$7, SplitScreenStrip!$12:$12, 0 ) )</f>
        <v>0</v>
      </c>
      <c r="P17" s="162">
        <f xml:space="preserve"> INDEX( SplitScreenStrip!$13:$23, MATCH( $D17, SplitScreenStrip!$D$13:$D$23, 0 ), MATCH( P$7, SplitScreenStrip!$12:$12, 0 ) )</f>
        <v>0</v>
      </c>
      <c r="Q17" s="162">
        <f xml:space="preserve"> INDEX( SplitScreenStrip!$13:$23, MATCH( $D17, SplitScreenStrip!$D$13:$D$23, 0 ), MATCH( Q$7, SplitScreenStrip!$12:$12, 0 ) )</f>
        <v>0</v>
      </c>
    </row>
    <row r="18" spans="1:17" s="176" customFormat="1" x14ac:dyDescent="0.3">
      <c r="A18" s="169"/>
      <c r="B18" s="169"/>
      <c r="C18" s="169"/>
      <c r="D18" s="220" t="s">
        <v>14</v>
      </c>
      <c r="E18" s="173"/>
      <c r="F18" s="174"/>
      <c r="G18" s="174"/>
      <c r="H18" s="164" t="s">
        <v>14</v>
      </c>
      <c r="I18" s="175" t="s">
        <v>53</v>
      </c>
      <c r="J18" s="177" t="s">
        <v>21</v>
      </c>
      <c r="L18" s="178">
        <f xml:space="preserve"> INDEX( SplitScreenStrip!$13:$23, MATCH( $D18, SplitScreenStrip!$D$13:$D$23, 0 ), MATCH( L$7, SplitScreenStrip!$12:$12, 0 ) )</f>
        <v>20000</v>
      </c>
      <c r="M18" s="176">
        <f xml:space="preserve"> INDEX( SplitScreenStrip!$13:$23, MATCH( $D18, SplitScreenStrip!$D$13:$D$23, 0 ), MATCH( M$7, SplitScreenStrip!$12:$12, 0 ) )</f>
        <v>16000</v>
      </c>
      <c r="N18" s="176">
        <f xml:space="preserve"> INDEX( SplitScreenStrip!$13:$23, MATCH( $D18, SplitScreenStrip!$D$13:$D$23, 0 ), MATCH( N$7, SplitScreenStrip!$12:$12, 0 ) )</f>
        <v>12000</v>
      </c>
      <c r="O18" s="176">
        <f xml:space="preserve"> INDEX( SplitScreenStrip!$13:$23, MATCH( $D18, SplitScreenStrip!$D$13:$D$23, 0 ), MATCH( O$7, SplitScreenStrip!$12:$12, 0 ) )</f>
        <v>8000</v>
      </c>
      <c r="P18" s="176">
        <f xml:space="preserve"> INDEX( SplitScreenStrip!$13:$23, MATCH( $D18, SplitScreenStrip!$D$13:$D$23, 0 ), MATCH( P$7, SplitScreenStrip!$12:$12, 0 ) )</f>
        <v>4000</v>
      </c>
      <c r="Q18" s="176">
        <f xml:space="preserve"> INDEX( SplitScreenStrip!$13:$23, MATCH( $D18, SplitScreenStrip!$D$13:$D$23, 0 ), MATCH( Q$7, SplitScreenStrip!$12:$12, 0 ) )</f>
        <v>0</v>
      </c>
    </row>
    <row r="19" spans="1:17" s="39" customFormat="1" ht="14.4" x14ac:dyDescent="0.3">
      <c r="A19" s="158"/>
      <c r="B19" s="158"/>
      <c r="C19" s="158"/>
      <c r="D19" s="221" t="s">
        <v>373</v>
      </c>
      <c r="E19" s="170"/>
      <c r="F19" s="170"/>
      <c r="G19" s="170"/>
      <c r="H19" s="171" t="s">
        <v>364</v>
      </c>
      <c r="I19" s="172" t="s">
        <v>188</v>
      </c>
      <c r="J19" s="41" t="s">
        <v>21</v>
      </c>
      <c r="L19" s="40">
        <f xml:space="preserve"> INDEX( SplitScreenStrip!$13:$23, MATCH( $D19, SplitScreenStrip!$D$13:$D$23, 0 ), MATCH( L$7, SplitScreenStrip!$12:$12, 0 ) )</f>
        <v>-3750</v>
      </c>
      <c r="M19" s="39">
        <f xml:space="preserve"> INDEX( SplitScreenStrip!$13:$23, MATCH( $D19, SplitScreenStrip!$D$13:$D$23, 0 ), MATCH( M$7, SplitScreenStrip!$12:$12, 0 ) )</f>
        <v>-513.13287671233275</v>
      </c>
      <c r="N19" s="39">
        <f xml:space="preserve"> INDEX( SplitScreenStrip!$13:$23, MATCH( $D19, SplitScreenStrip!$D$13:$D$23, 0 ), MATCH( N$7, SplitScreenStrip!$12:$12, 0 ) )</f>
        <v>2459.5399753424635</v>
      </c>
      <c r="O19" s="39">
        <f xml:space="preserve"> INDEX( SplitScreenStrip!$13:$23, MATCH( $D19, SplitScreenStrip!$D$13:$D$23, 0 ), MATCH( O$7, SplitScreenStrip!$12:$12, 0 ) )</f>
        <v>6209.4479185589062</v>
      </c>
      <c r="P19" s="39">
        <f xml:space="preserve"> INDEX( SplitScreenStrip!$13:$23, MATCH( $D19, SplitScreenStrip!$D$13:$D$23, 0 ), MATCH( P$7, SplitScreenStrip!$12:$12, 0 ) )</f>
        <v>10818.157655172152</v>
      </c>
      <c r="Q19" s="39">
        <f xml:space="preserve"> INDEX( SplitScreenStrip!$13:$23, MATCH( $D19, SplitScreenStrip!$D$13:$D$23, 0 ), MATCH( Q$7, SplitScreenStrip!$12:$12, 0 ) )</f>
        <v>0</v>
      </c>
    </row>
    <row r="20" spans="1:17" s="364" customFormat="1" ht="14.4" x14ac:dyDescent="0.3">
      <c r="A20" s="361"/>
      <c r="B20" s="361"/>
      <c r="C20" s="361"/>
      <c r="D20" s="362"/>
      <c r="E20" s="363"/>
      <c r="F20" s="363"/>
      <c r="G20" s="363"/>
      <c r="H20" s="362" t="s">
        <v>351</v>
      </c>
      <c r="I20" s="364" t="s">
        <v>29</v>
      </c>
      <c r="J20" s="365" t="s">
        <v>21</v>
      </c>
      <c r="L20" s="366">
        <f t="shared" ref="L20:Q20" si="2" xml:space="preserve"> L9 + L19</f>
        <v>20000</v>
      </c>
      <c r="M20" s="364">
        <f t="shared" si="2"/>
        <v>18533.099999999995</v>
      </c>
      <c r="N20" s="364">
        <f t="shared" si="2"/>
        <v>17810.396139726028</v>
      </c>
      <c r="O20" s="364">
        <f t="shared" si="2"/>
        <v>17895.389699380823</v>
      </c>
      <c r="P20" s="364">
        <f t="shared" si="2"/>
        <v>18872.881970240647</v>
      </c>
      <c r="Q20" s="364">
        <f t="shared" si="2"/>
        <v>0</v>
      </c>
    </row>
    <row r="21" spans="1:17" s="258" customFormat="1" ht="4.2" x14ac:dyDescent="0.3">
      <c r="A21" s="254"/>
      <c r="B21" s="254"/>
      <c r="C21" s="254"/>
      <c r="D21" s="254"/>
      <c r="E21" s="254"/>
      <c r="F21" s="254"/>
      <c r="G21" s="254"/>
      <c r="H21" s="254"/>
      <c r="I21" s="62"/>
      <c r="J21" s="254"/>
      <c r="K21" s="257"/>
      <c r="L21" s="22"/>
      <c r="M21" s="21"/>
      <c r="N21" s="21"/>
      <c r="O21" s="21"/>
      <c r="P21" s="21"/>
      <c r="Q21" s="21"/>
    </row>
    <row r="22" spans="1:17" s="39" customFormat="1" ht="14.4" x14ac:dyDescent="0.3">
      <c r="A22" s="158"/>
      <c r="B22" s="158"/>
      <c r="C22" s="158"/>
      <c r="D22" s="221" t="s">
        <v>371</v>
      </c>
      <c r="E22" s="170"/>
      <c r="F22" s="170"/>
      <c r="G22" s="170"/>
      <c r="H22" s="171" t="s">
        <v>365</v>
      </c>
      <c r="I22" s="172" t="s">
        <v>127</v>
      </c>
      <c r="J22" s="41" t="s">
        <v>21</v>
      </c>
      <c r="L22" s="40">
        <f xml:space="preserve"> INDEX( SplitScreenStrip!$13:$23, MATCH( $D22, SplitScreenStrip!$D$13:$D$23, 0 ), MATCH( L$7, SplitScreenStrip!$12:$12, 0 ) )</f>
        <v>12000</v>
      </c>
      <c r="M22" s="39">
        <f xml:space="preserve"> INDEX( SplitScreenStrip!$13:$23, MATCH( $D22, SplitScreenStrip!$D$13:$D$23, 0 ), MATCH( M$7, SplitScreenStrip!$12:$12, 0 ) )</f>
        <v>9600</v>
      </c>
      <c r="N22" s="39">
        <f xml:space="preserve"> INDEX( SplitScreenStrip!$13:$23, MATCH( $D22, SplitScreenStrip!$D$13:$D$23, 0 ), MATCH( N$7, SplitScreenStrip!$12:$12, 0 ) )</f>
        <v>7200</v>
      </c>
      <c r="O22" s="39">
        <f xml:space="preserve"> INDEX( SplitScreenStrip!$13:$23, MATCH( $D22, SplitScreenStrip!$D$13:$D$23, 0 ), MATCH( O$7, SplitScreenStrip!$12:$12, 0 ) )</f>
        <v>4800</v>
      </c>
      <c r="P22" s="39">
        <f xml:space="preserve"> INDEX( SplitScreenStrip!$13:$23, MATCH( $D22, SplitScreenStrip!$D$13:$D$23, 0 ), MATCH( P$7, SplitScreenStrip!$12:$12, 0 ) )</f>
        <v>2400</v>
      </c>
      <c r="Q22" s="39">
        <f xml:space="preserve"> INDEX( SplitScreenStrip!$13:$23, MATCH( $D22, SplitScreenStrip!$D$13:$D$23, 0 ), MATCH( Q$7, SplitScreenStrip!$12:$12, 0 ) )</f>
        <v>0</v>
      </c>
    </row>
    <row r="23" spans="1:17" s="39" customFormat="1" ht="14.4" x14ac:dyDescent="0.3">
      <c r="A23" s="158"/>
      <c r="B23" s="158"/>
      <c r="C23" s="158"/>
      <c r="D23" s="221" t="s">
        <v>372</v>
      </c>
      <c r="E23" s="170"/>
      <c r="F23" s="170"/>
      <c r="G23" s="170"/>
      <c r="H23" s="171" t="s">
        <v>366</v>
      </c>
      <c r="I23" s="172" t="s">
        <v>128</v>
      </c>
      <c r="J23" s="41" t="s">
        <v>21</v>
      </c>
      <c r="L23" s="40">
        <f xml:space="preserve"> INDEX( SplitScreenStrip!$13:$23, MATCH( $D23, SplitScreenStrip!$D$13:$D$23, 0 ), MATCH( L$7, SplitScreenStrip!$12:$12, 0 ) )</f>
        <v>8000</v>
      </c>
      <c r="M23" s="39">
        <f xml:space="preserve"> INDEX( SplitScreenStrip!$13:$23, MATCH( $D23, SplitScreenStrip!$D$13:$D$23, 0 ), MATCH( M$7, SplitScreenStrip!$12:$12, 0 ) )</f>
        <v>8933.1</v>
      </c>
      <c r="N23" s="39">
        <f xml:space="preserve"> INDEX( SplitScreenStrip!$13:$23, MATCH( $D23, SplitScreenStrip!$D$13:$D$23, 0 ), MATCH( N$7, SplitScreenStrip!$12:$12, 0 ) )</f>
        <v>10610.396139726026</v>
      </c>
      <c r="O23" s="39">
        <f xml:space="preserve"> INDEX( SplitScreenStrip!$13:$23, MATCH( $D23, SplitScreenStrip!$D$13:$D$23, 0 ), MATCH( O$7, SplitScreenStrip!$12:$12, 0 ) )</f>
        <v>13095.389699380821</v>
      </c>
      <c r="P23" s="39">
        <f xml:space="preserve"> INDEX( SplitScreenStrip!$13:$23, MATCH( $D23, SplitScreenStrip!$D$13:$D$23, 0 ), MATCH( P$7, SplitScreenStrip!$12:$12, 0 ) )</f>
        <v>16472.881970240644</v>
      </c>
      <c r="Q23" s="39">
        <f xml:space="preserve"> INDEX( SplitScreenStrip!$13:$23, MATCH( $D23, SplitScreenStrip!$D$13:$D$23, 0 ), MATCH( Q$7, SplitScreenStrip!$12:$12, 0 ) )</f>
        <v>0</v>
      </c>
    </row>
    <row r="24" spans="1:17" s="364" customFormat="1" ht="14.4" x14ac:dyDescent="0.3">
      <c r="A24" s="361"/>
      <c r="B24" s="361"/>
      <c r="C24" s="361"/>
      <c r="D24" s="362"/>
      <c r="E24" s="363"/>
      <c r="F24" s="363"/>
      <c r="G24" s="363"/>
      <c r="H24" s="362" t="s">
        <v>363</v>
      </c>
      <c r="I24" s="364" t="s">
        <v>28</v>
      </c>
      <c r="J24" s="365" t="s">
        <v>21</v>
      </c>
      <c r="L24" s="366">
        <f t="shared" ref="L24:Q24" si="3" xml:space="preserve"> L22 + L23</f>
        <v>20000</v>
      </c>
      <c r="M24" s="364">
        <f t="shared" si="3"/>
        <v>18533.099999999999</v>
      </c>
      <c r="N24" s="364">
        <f t="shared" si="3"/>
        <v>17810.396139726028</v>
      </c>
      <c r="O24" s="364">
        <f t="shared" si="3"/>
        <v>17895.389699380823</v>
      </c>
      <c r="P24" s="364">
        <f t="shared" si="3"/>
        <v>18872.881970240644</v>
      </c>
      <c r="Q24" s="364">
        <f t="shared" si="3"/>
        <v>0</v>
      </c>
    </row>
    <row r="25" spans="1:17" s="30" customFormat="1" x14ac:dyDescent="0.3">
      <c r="A25" s="2"/>
      <c r="B25" s="2"/>
      <c r="C25" s="2"/>
      <c r="D25" s="2"/>
      <c r="E25" s="2"/>
      <c r="F25" s="2"/>
      <c r="G25" s="2"/>
      <c r="H25" s="2"/>
      <c r="I25" s="3"/>
      <c r="J25" s="32"/>
      <c r="K25" s="31"/>
      <c r="L25" s="29"/>
      <c r="M25" s="28"/>
      <c r="N25" s="28"/>
      <c r="O25" s="28"/>
      <c r="P25" s="28"/>
      <c r="Q25" s="28"/>
    </row>
    <row r="26" spans="1:17" s="424" customFormat="1" ht="18.600000000000001" x14ac:dyDescent="0.3">
      <c r="A26" s="419"/>
      <c r="B26" s="419"/>
      <c r="C26" s="419"/>
      <c r="D26" s="419"/>
      <c r="E26" s="419"/>
      <c r="F26" s="419"/>
      <c r="G26" s="419"/>
      <c r="H26" s="419"/>
      <c r="I26" s="420" t="s">
        <v>203</v>
      </c>
      <c r="J26" s="419"/>
      <c r="K26" s="421"/>
      <c r="L26" s="422" t="s">
        <v>288</v>
      </c>
      <c r="M26" s="423" t="s">
        <v>289</v>
      </c>
      <c r="N26" s="423" t="s">
        <v>290</v>
      </c>
      <c r="O26" s="423" t="s">
        <v>291</v>
      </c>
      <c r="P26" s="423" t="s">
        <v>292</v>
      </c>
      <c r="Q26" s="423" t="s">
        <v>293</v>
      </c>
    </row>
    <row r="27" spans="1:17" s="42" customFormat="1" ht="6.6" x14ac:dyDescent="0.3">
      <c r="A27" s="45"/>
      <c r="B27" s="45"/>
      <c r="C27" s="45"/>
      <c r="D27" s="44"/>
      <c r="E27" s="45"/>
      <c r="F27" s="45"/>
      <c r="G27" s="45"/>
      <c r="H27" s="45"/>
      <c r="J27" s="44"/>
      <c r="L27" s="43"/>
    </row>
    <row r="28" spans="1:17" s="39" customFormat="1" x14ac:dyDescent="0.3">
      <c r="A28" s="158"/>
      <c r="B28" s="158"/>
      <c r="C28" s="158"/>
      <c r="D28" s="165"/>
      <c r="E28" s="222" t="s">
        <v>11</v>
      </c>
      <c r="F28" s="165"/>
      <c r="G28" s="165"/>
      <c r="H28" s="432" t="s">
        <v>11</v>
      </c>
      <c r="I28" s="39" t="s">
        <v>51</v>
      </c>
      <c r="J28" s="41" t="s">
        <v>21</v>
      </c>
      <c r="L28" s="40">
        <f xml:space="preserve"> INDEX( SplitScreenStrip!$13:$23, MATCH( $E28, SplitScreenStrip!$E$13:$E$23, 0 ), MATCH( "+"&amp;L$26, SplitScreenStrip!$12:$12, 0 ) )</f>
        <v>0</v>
      </c>
      <c r="M28" s="39">
        <f xml:space="preserve"> INDEX( SplitScreenStrip!$13:$23, MATCH( $E28, SplitScreenStrip!$E$13:$E$23, 0 ), MATCH( "+"&amp;M$26, SplitScreenStrip!$12:$12, 0 ) )</f>
        <v>60000</v>
      </c>
      <c r="N28" s="39">
        <f xml:space="preserve"> INDEX( SplitScreenStrip!$13:$23, MATCH( $E28, SplitScreenStrip!$E$13:$E$23, 0 ), MATCH( "+"&amp;N$26, SplitScreenStrip!$12:$12, 0 ) )</f>
        <v>66000</v>
      </c>
      <c r="O28" s="39">
        <f xml:space="preserve"> INDEX( SplitScreenStrip!$13:$23, MATCH( $E28, SplitScreenStrip!$E$13:$E$23, 0 ), MATCH( "+"&amp;O$26, SplitScreenStrip!$12:$12, 0 ) )</f>
        <v>72600</v>
      </c>
      <c r="P28" s="39">
        <f xml:space="preserve"> INDEX( SplitScreenStrip!$13:$23, MATCH( $E28, SplitScreenStrip!$E$13:$E$23, 0 ), MATCH( "+"&amp;P$26, SplitScreenStrip!$12:$12, 0 ) )</f>
        <v>79860</v>
      </c>
      <c r="Q28" s="39">
        <f xml:space="preserve"> INDEX( SplitScreenStrip!$13:$23, MATCH( $E28, SplitScreenStrip!$E$13:$E$23, 0 ), MATCH( "+"&amp;Q$26, SplitScreenStrip!$12:$12, 0 ) )</f>
        <v>87850</v>
      </c>
    </row>
    <row r="29" spans="1:17" s="176" customFormat="1" x14ac:dyDescent="0.3">
      <c r="A29" s="169"/>
      <c r="B29" s="169"/>
      <c r="C29" s="169"/>
      <c r="E29" s="256"/>
      <c r="H29" s="445" t="s">
        <v>548</v>
      </c>
      <c r="I29" s="433" t="s">
        <v>550</v>
      </c>
      <c r="J29" s="177" t="s">
        <v>21</v>
      </c>
      <c r="L29" s="178">
        <f t="shared" ref="L29:Q29" si="4" xml:space="preserve"> SUM( L30:L32 )</f>
        <v>0</v>
      </c>
      <c r="M29" s="176">
        <f t="shared" si="4"/>
        <v>-39000</v>
      </c>
      <c r="N29" s="176">
        <f t="shared" si="4"/>
        <v>-42900</v>
      </c>
      <c r="O29" s="176">
        <f t="shared" si="4"/>
        <v>-47190</v>
      </c>
      <c r="P29" s="176">
        <f t="shared" si="4"/>
        <v>-51909</v>
      </c>
      <c r="Q29" s="176">
        <f t="shared" si="4"/>
        <v>-57102.5</v>
      </c>
    </row>
    <row r="30" spans="1:17" s="162" customFormat="1" ht="15" customHeight="1" x14ac:dyDescent="0.3">
      <c r="A30" s="163"/>
      <c r="B30" s="163"/>
      <c r="C30" s="163"/>
      <c r="D30" s="166"/>
      <c r="E30" s="220" t="s">
        <v>13</v>
      </c>
      <c r="F30" s="166"/>
      <c r="G30" s="166"/>
      <c r="H30" s="164" t="s">
        <v>556</v>
      </c>
      <c r="I30" s="434" t="s">
        <v>551</v>
      </c>
      <c r="J30" s="14" t="s">
        <v>21</v>
      </c>
      <c r="L30" s="161">
        <f xml:space="preserve"> INDEX( SplitScreenStrip!$13:$23, MATCH( $E30, SplitScreenStrip!$E$13:$E$23, 0 ), MATCH( "+"&amp;L$26, SplitScreenStrip!$12:$12, 0 ) )</f>
        <v>3750</v>
      </c>
      <c r="M30" s="162">
        <f xml:space="preserve"> INDEX( SplitScreenStrip!$13:$23, MATCH( $E30, SplitScreenStrip!$E$13:$E$23, 0 ), MATCH( "+"&amp;M$26, SplitScreenStrip!$12:$12, 0 ) )</f>
        <v>375</v>
      </c>
      <c r="N30" s="162">
        <f xml:space="preserve"> INDEX( SplitScreenStrip!$13:$23, MATCH( $E30, SplitScreenStrip!$E$13:$E$23, 0 ), MATCH( "+"&amp;N$26, SplitScreenStrip!$12:$12, 0 ) )</f>
        <v>412.5</v>
      </c>
      <c r="O30" s="162">
        <f xml:space="preserve"> INDEX( SplitScreenStrip!$13:$23, MATCH( $E30, SplitScreenStrip!$E$13:$E$23, 0 ), MATCH( "+"&amp;O$26, SplitScreenStrip!$12:$12, 0 ) )</f>
        <v>453.75</v>
      </c>
      <c r="P30" s="162">
        <f xml:space="preserve"> INDEX( SplitScreenStrip!$13:$23, MATCH( $E30, SplitScreenStrip!$E$13:$E$23, 0 ), MATCH( "+"&amp;P$26, SplitScreenStrip!$12:$12, 0 ) )</f>
        <v>499.375</v>
      </c>
      <c r="Q30" s="162">
        <f xml:space="preserve"> INDEX( SplitScreenStrip!$13:$23, MATCH( $E30, SplitScreenStrip!$E$13:$E$23, 0 ), MATCH( "+"&amp;Q$26, SplitScreenStrip!$12:$12, 0 ) )</f>
        <v>-5490.625</v>
      </c>
    </row>
    <row r="31" spans="1:17" s="162" customFormat="1" ht="14.4" x14ac:dyDescent="0.3">
      <c r="A31" s="163"/>
      <c r="B31" s="163"/>
      <c r="C31" s="163"/>
      <c r="D31" s="166"/>
      <c r="E31" s="220" t="s">
        <v>267</v>
      </c>
      <c r="F31" s="166"/>
      <c r="G31" s="166"/>
      <c r="H31" s="164" t="s">
        <v>557</v>
      </c>
      <c r="I31" s="434" t="s">
        <v>552</v>
      </c>
      <c r="J31" s="14" t="s">
        <v>21</v>
      </c>
      <c r="L31" s="161">
        <f xml:space="preserve"> INDEX( SplitScreenStrip!$13:$23, MATCH( $E31, SplitScreenStrip!$E$13:$E$23, 0 ), MATCH( "+"&amp;L$26, SplitScreenStrip!$12:$12, 0 ) )</f>
        <v>-3750</v>
      </c>
      <c r="M31" s="162">
        <f xml:space="preserve"> INDEX( SplitScreenStrip!$13:$23, MATCH( $E31, SplitScreenStrip!$E$13:$E$23, 0 ), MATCH( "+"&amp;M$26, SplitScreenStrip!$12:$12, 0 ) )</f>
        <v>-15375</v>
      </c>
      <c r="N31" s="162">
        <f xml:space="preserve"> INDEX( SplitScreenStrip!$13:$23, MATCH( $E31, SplitScreenStrip!$E$13:$E$23, 0 ), MATCH( "+"&amp;N$26, SplitScreenStrip!$12:$12, 0 ) )</f>
        <v>-16912.5</v>
      </c>
      <c r="O31" s="162">
        <f xml:space="preserve"> INDEX( SplitScreenStrip!$13:$23, MATCH( $E31, SplitScreenStrip!$E$13:$E$23, 0 ), MATCH( "+"&amp;O$26, SplitScreenStrip!$12:$12, 0 ) )</f>
        <v>-18603.75</v>
      </c>
      <c r="P31" s="162">
        <f xml:space="preserve"> INDEX( SplitScreenStrip!$13:$23, MATCH( $E31, SplitScreenStrip!$E$13:$E$23, 0 ), MATCH( "+"&amp;P$26, SplitScreenStrip!$12:$12, 0 ) )</f>
        <v>-20464.375</v>
      </c>
      <c r="Q31" s="162">
        <f xml:space="preserve"> INDEX( SplitScreenStrip!$13:$23, MATCH( $E31, SplitScreenStrip!$E$13:$E$23, 0 ), MATCH( "+"&amp;Q$26, SplitScreenStrip!$12:$12, 0 ) )</f>
        <v>-16471.875</v>
      </c>
    </row>
    <row r="32" spans="1:17" s="162" customFormat="1" ht="14.4" x14ac:dyDescent="0.3">
      <c r="A32" s="163"/>
      <c r="B32" s="163"/>
      <c r="C32" s="163"/>
      <c r="D32" s="166"/>
      <c r="E32" s="220" t="s">
        <v>268</v>
      </c>
      <c r="F32" s="166"/>
      <c r="G32" s="166"/>
      <c r="H32" s="164" t="s">
        <v>558</v>
      </c>
      <c r="I32" s="434" t="s">
        <v>553</v>
      </c>
      <c r="J32" s="14" t="s">
        <v>21</v>
      </c>
      <c r="L32" s="161">
        <f xml:space="preserve"> INDEX( SplitScreenStrip!$13:$23, MATCH( $E32, SplitScreenStrip!$E$13:$E$23, 0 ), MATCH( "+"&amp;L$26, SplitScreenStrip!$12:$12, 0 ) )</f>
        <v>0</v>
      </c>
      <c r="M32" s="162">
        <f xml:space="preserve"> INDEX( SplitScreenStrip!$13:$23, MATCH( $E32, SplitScreenStrip!$E$13:$E$23, 0 ), MATCH( "+"&amp;M$26, SplitScreenStrip!$12:$12, 0 ) )</f>
        <v>-24000</v>
      </c>
      <c r="N32" s="162">
        <f xml:space="preserve"> INDEX( SplitScreenStrip!$13:$23, MATCH( $E32, SplitScreenStrip!$E$13:$E$23, 0 ), MATCH( "+"&amp;N$26, SplitScreenStrip!$12:$12, 0 ) )</f>
        <v>-26400</v>
      </c>
      <c r="O32" s="162">
        <f xml:space="preserve"> INDEX( SplitScreenStrip!$13:$23, MATCH( $E32, SplitScreenStrip!$E$13:$E$23, 0 ), MATCH( "+"&amp;O$26, SplitScreenStrip!$12:$12, 0 ) )</f>
        <v>-29040</v>
      </c>
      <c r="P32" s="162">
        <f xml:space="preserve"> INDEX( SplitScreenStrip!$13:$23, MATCH( $E32, SplitScreenStrip!$E$13:$E$23, 0 ), MATCH( "+"&amp;P$26, SplitScreenStrip!$12:$12, 0 ) )</f>
        <v>-31944</v>
      </c>
      <c r="Q32" s="162">
        <f xml:space="preserve"> INDEX( SplitScreenStrip!$13:$23, MATCH( $E32, SplitScreenStrip!$E$13:$E$23, 0 ), MATCH( "+"&amp;Q$26, SplitScreenStrip!$12:$12, 0 ) )</f>
        <v>-35140</v>
      </c>
    </row>
    <row r="33" spans="1:17" s="120" customFormat="1" x14ac:dyDescent="0.3">
      <c r="A33" s="183"/>
      <c r="B33" s="183"/>
      <c r="C33" s="183"/>
      <c r="E33" s="184"/>
      <c r="H33" s="184"/>
      <c r="I33" s="120" t="s">
        <v>27</v>
      </c>
      <c r="J33" s="185" t="s">
        <v>21</v>
      </c>
      <c r="L33" s="186">
        <f t="shared" ref="L33:Q33" si="5" xml:space="preserve"> L28 + L29</f>
        <v>0</v>
      </c>
      <c r="M33" s="120">
        <f t="shared" si="5"/>
        <v>21000</v>
      </c>
      <c r="N33" s="120">
        <f t="shared" si="5"/>
        <v>23100</v>
      </c>
      <c r="O33" s="120">
        <f t="shared" si="5"/>
        <v>25410</v>
      </c>
      <c r="P33" s="120">
        <f t="shared" si="5"/>
        <v>27951</v>
      </c>
      <c r="Q33" s="120">
        <f t="shared" si="5"/>
        <v>30747.5</v>
      </c>
    </row>
    <row r="34" spans="1:17" s="176" customFormat="1" x14ac:dyDescent="0.3">
      <c r="A34" s="169"/>
      <c r="B34" s="169"/>
      <c r="C34" s="169"/>
      <c r="E34" s="256"/>
      <c r="H34" s="445" t="s">
        <v>549</v>
      </c>
      <c r="I34" s="433" t="s">
        <v>561</v>
      </c>
      <c r="J34" s="177" t="s">
        <v>21</v>
      </c>
      <c r="L34" s="178">
        <f t="shared" ref="L34:Q34" si="6" xml:space="preserve"> SUM( L35:L36 )</f>
        <v>0</v>
      </c>
      <c r="M34" s="176">
        <f t="shared" si="6"/>
        <v>-15000</v>
      </c>
      <c r="N34" s="176">
        <f t="shared" si="6"/>
        <v>-15900</v>
      </c>
      <c r="O34" s="176">
        <f t="shared" si="6"/>
        <v>-16890</v>
      </c>
      <c r="P34" s="176">
        <f t="shared" si="6"/>
        <v>-17979</v>
      </c>
      <c r="Q34" s="176">
        <f t="shared" si="6"/>
        <v>-19178</v>
      </c>
    </row>
    <row r="35" spans="1:17" s="162" customFormat="1" ht="14.4" x14ac:dyDescent="0.3">
      <c r="A35" s="163"/>
      <c r="B35" s="163"/>
      <c r="C35" s="163"/>
      <c r="D35" s="166"/>
      <c r="E35" s="220" t="s">
        <v>269</v>
      </c>
      <c r="F35" s="166"/>
      <c r="G35" s="166"/>
      <c r="H35" s="164" t="s">
        <v>559</v>
      </c>
      <c r="I35" s="434" t="s">
        <v>554</v>
      </c>
      <c r="J35" s="14" t="s">
        <v>21</v>
      </c>
      <c r="L35" s="161">
        <f xml:space="preserve"> INDEX( SplitScreenStrip!$13:$23, MATCH( $E35, SplitScreenStrip!$E$13:$E$23, 0 ), MATCH( "+"&amp;L$26, SplitScreenStrip!$12:$12, 0 ) )</f>
        <v>0</v>
      </c>
      <c r="M35" s="162">
        <f xml:space="preserve"> INDEX( SplitScreenStrip!$13:$23, MATCH( $E35, SplitScreenStrip!$E$13:$E$23, 0 ), MATCH( "+"&amp;M$26, SplitScreenStrip!$12:$12, 0 ) )</f>
        <v>-9000</v>
      </c>
      <c r="N35" s="162">
        <f xml:space="preserve"> INDEX( SplitScreenStrip!$13:$23, MATCH( $E35, SplitScreenStrip!$E$13:$E$23, 0 ), MATCH( "+"&amp;N$26, SplitScreenStrip!$12:$12, 0 ) )</f>
        <v>-9900</v>
      </c>
      <c r="O35" s="162">
        <f xml:space="preserve"> INDEX( SplitScreenStrip!$13:$23, MATCH( $E35, SplitScreenStrip!$E$13:$E$23, 0 ), MATCH( "+"&amp;O$26, SplitScreenStrip!$12:$12, 0 ) )</f>
        <v>-10890</v>
      </c>
      <c r="P35" s="162">
        <f xml:space="preserve"> INDEX( SplitScreenStrip!$13:$23, MATCH( $E35, SplitScreenStrip!$E$13:$E$23, 0 ), MATCH( "+"&amp;P$26, SplitScreenStrip!$12:$12, 0 ) )</f>
        <v>-11979</v>
      </c>
      <c r="Q35" s="162">
        <f xml:space="preserve"> INDEX( SplitScreenStrip!$13:$23, MATCH( $E35, SplitScreenStrip!$E$13:$E$23, 0 ), MATCH( "+"&amp;Q$26, SplitScreenStrip!$12:$12, 0 ) )</f>
        <v>-13178</v>
      </c>
    </row>
    <row r="36" spans="1:17" s="162" customFormat="1" ht="14.4" x14ac:dyDescent="0.3">
      <c r="A36" s="163"/>
      <c r="B36" s="163"/>
      <c r="C36" s="163"/>
      <c r="D36" s="166"/>
      <c r="E36" s="220" t="s">
        <v>270</v>
      </c>
      <c r="F36" s="166"/>
      <c r="G36" s="166"/>
      <c r="H36" s="164" t="s">
        <v>560</v>
      </c>
      <c r="I36" s="434" t="s">
        <v>555</v>
      </c>
      <c r="J36" s="14" t="s">
        <v>21</v>
      </c>
      <c r="L36" s="161">
        <f xml:space="preserve"> INDEX( SplitScreenStrip!$13:$23, MATCH( $E36, SplitScreenStrip!$E$13:$E$23, 0 ), MATCH( "+"&amp;L$26, SplitScreenStrip!$12:$12, 0 ) )</f>
        <v>0</v>
      </c>
      <c r="M36" s="162">
        <f xml:space="preserve"> INDEX( SplitScreenStrip!$13:$23, MATCH( $E36, SplitScreenStrip!$E$13:$E$23, 0 ), MATCH( "+"&amp;M$26, SplitScreenStrip!$12:$12, 0 ) )</f>
        <v>-6000</v>
      </c>
      <c r="N36" s="162">
        <f xml:space="preserve"> INDEX( SplitScreenStrip!$13:$23, MATCH( $E36, SplitScreenStrip!$E$13:$E$23, 0 ), MATCH( "+"&amp;N$26, SplitScreenStrip!$12:$12, 0 ) )</f>
        <v>-6000</v>
      </c>
      <c r="O36" s="162">
        <f xml:space="preserve"> INDEX( SplitScreenStrip!$13:$23, MATCH( $E36, SplitScreenStrip!$E$13:$E$23, 0 ), MATCH( "+"&amp;O$26, SplitScreenStrip!$12:$12, 0 ) )</f>
        <v>-6000</v>
      </c>
      <c r="P36" s="162">
        <f xml:space="preserve"> INDEX( SplitScreenStrip!$13:$23, MATCH( $E36, SplitScreenStrip!$E$13:$E$23, 0 ), MATCH( "+"&amp;P$26, SplitScreenStrip!$12:$12, 0 ) )</f>
        <v>-6000</v>
      </c>
      <c r="Q36" s="162">
        <f xml:space="preserve"> INDEX( SplitScreenStrip!$13:$23, MATCH( $E36, SplitScreenStrip!$E$13:$E$23, 0 ), MATCH( "+"&amp;Q$26, SplitScreenStrip!$12:$12, 0 ) )</f>
        <v>-6000</v>
      </c>
    </row>
    <row r="37" spans="1:17" s="120" customFormat="1" ht="26.4" x14ac:dyDescent="0.3">
      <c r="A37" s="183"/>
      <c r="B37" s="183"/>
      <c r="C37" s="183"/>
      <c r="E37" s="184"/>
      <c r="H37" s="446" t="s">
        <v>26</v>
      </c>
      <c r="I37" s="447" t="s">
        <v>526</v>
      </c>
      <c r="J37" s="185" t="s">
        <v>21</v>
      </c>
      <c r="L37" s="186">
        <f t="shared" ref="L37:Q37" si="7" xml:space="preserve"> L33+L34</f>
        <v>0</v>
      </c>
      <c r="M37" s="120">
        <f t="shared" si="7"/>
        <v>6000</v>
      </c>
      <c r="N37" s="120">
        <f t="shared" si="7"/>
        <v>7200</v>
      </c>
      <c r="O37" s="120">
        <f t="shared" si="7"/>
        <v>8520</v>
      </c>
      <c r="P37" s="120">
        <f t="shared" si="7"/>
        <v>9972</v>
      </c>
      <c r="Q37" s="120">
        <f t="shared" si="7"/>
        <v>11569.5</v>
      </c>
    </row>
    <row r="38" spans="1:17" s="11" customFormat="1" x14ac:dyDescent="0.3">
      <c r="A38" s="15"/>
      <c r="B38" s="15"/>
      <c r="C38" s="15"/>
      <c r="D38" s="166"/>
      <c r="E38" s="220" t="s">
        <v>15</v>
      </c>
      <c r="F38" s="166"/>
      <c r="G38" s="166"/>
      <c r="H38" s="164" t="s">
        <v>15</v>
      </c>
      <c r="I38" s="11" t="s">
        <v>54</v>
      </c>
      <c r="J38" s="14" t="s">
        <v>21</v>
      </c>
      <c r="L38" s="12">
        <f xml:space="preserve"> INDEX( SplitScreenStrip!$13:$23, MATCH( $E38, SplitScreenStrip!$E$13:$E$23, 0 ), MATCH( "+"&amp;L$26, SplitScreenStrip!$12:$12, 0 ) )</f>
        <v>0</v>
      </c>
      <c r="M38" s="11">
        <f xml:space="preserve"> INDEX( SplitScreenStrip!$13:$23, MATCH( $E38, SplitScreenStrip!$E$13:$E$23, 0 ), MATCH( "+"&amp;M$26, SplitScreenStrip!$12:$12, 0 ) )</f>
        <v>-4000</v>
      </c>
      <c r="N38" s="11">
        <f xml:space="preserve"> INDEX( SplitScreenStrip!$13:$23, MATCH( $E38, SplitScreenStrip!$E$13:$E$23, 0 ), MATCH( "+"&amp;N$26, SplitScreenStrip!$12:$12, 0 ) )</f>
        <v>-4000</v>
      </c>
      <c r="O38" s="11">
        <f xml:space="preserve"> INDEX( SplitScreenStrip!$13:$23, MATCH( $E38, SplitScreenStrip!$E$13:$E$23, 0 ), MATCH( "+"&amp;O$26, SplitScreenStrip!$12:$12, 0 ) )</f>
        <v>-4000</v>
      </c>
      <c r="P38" s="11">
        <f xml:space="preserve"> INDEX( SplitScreenStrip!$13:$23, MATCH( $E38, SplitScreenStrip!$E$13:$E$23, 0 ), MATCH( "+"&amp;P$26, SplitScreenStrip!$12:$12, 0 ) )</f>
        <v>-4000</v>
      </c>
      <c r="Q38" s="11">
        <f xml:space="preserve"> INDEX( SplitScreenStrip!$13:$23, MATCH( $E38, SplitScreenStrip!$E$13:$E$23, 0 ), MATCH( "+"&amp;Q$26, SplitScreenStrip!$12:$12, 0 ) )</f>
        <v>-4000</v>
      </c>
    </row>
    <row r="39" spans="1:17" s="120" customFormat="1" x14ac:dyDescent="0.3">
      <c r="A39" s="183"/>
      <c r="B39" s="183"/>
      <c r="C39" s="183"/>
      <c r="E39" s="184"/>
      <c r="H39" s="446" t="s">
        <v>25</v>
      </c>
      <c r="I39" s="120" t="s">
        <v>527</v>
      </c>
      <c r="J39" s="185" t="s">
        <v>21</v>
      </c>
      <c r="L39" s="186">
        <f t="shared" ref="L39:Q39" si="8" xml:space="preserve"> SUM( L37:L38 )</f>
        <v>0</v>
      </c>
      <c r="M39" s="120">
        <f t="shared" si="8"/>
        <v>2000</v>
      </c>
      <c r="N39" s="120">
        <f t="shared" si="8"/>
        <v>3200</v>
      </c>
      <c r="O39" s="120">
        <f t="shared" si="8"/>
        <v>4520</v>
      </c>
      <c r="P39" s="120">
        <f t="shared" si="8"/>
        <v>5972</v>
      </c>
      <c r="Q39" s="120">
        <f t="shared" si="8"/>
        <v>7569.5</v>
      </c>
    </row>
    <row r="40" spans="1:17" s="11" customFormat="1" x14ac:dyDescent="0.3">
      <c r="A40" s="15"/>
      <c r="B40" s="15"/>
      <c r="C40" s="15"/>
      <c r="D40" s="166"/>
      <c r="E40" s="223" t="s">
        <v>272</v>
      </c>
      <c r="F40" s="166"/>
      <c r="G40" s="166"/>
      <c r="H40" s="167" t="s">
        <v>236</v>
      </c>
      <c r="I40" s="11" t="s">
        <v>57</v>
      </c>
      <c r="J40" s="14" t="s">
        <v>21</v>
      </c>
      <c r="L40" s="12">
        <f xml:space="preserve"> INDEX( SplitScreenStrip!$13:$23, MATCH( $E40, SplitScreenStrip!$E$13:$E$23, 0 ), MATCH( "+"&amp;L$26, SplitScreenStrip!$12:$12, 0 ) )</f>
        <v>0</v>
      </c>
      <c r="M40" s="11">
        <f xml:space="preserve"> INDEX( SplitScreenStrip!$13:$23, MATCH( $E40, SplitScreenStrip!$E$13:$E$23, 0 ), MATCH( "+"&amp;M$26, SplitScreenStrip!$12:$12, 0 ) )</f>
        <v>-93.75</v>
      </c>
      <c r="N40" s="11">
        <f xml:space="preserve"> INDEX( SplitScreenStrip!$13:$23, MATCH( $E40, SplitScreenStrip!$E$13:$E$23, 0 ), MATCH( "+"&amp;N$26, SplitScreenStrip!$12:$12, 0 ) )</f>
        <v>-12.828321917808319</v>
      </c>
      <c r="O40" s="11">
        <f xml:space="preserve"> INDEX( SplitScreenStrip!$13:$23, MATCH( $E40, SplitScreenStrip!$E$13:$E$23, 0 ), MATCH( "+"&amp;O$26, SplitScreenStrip!$12:$12, 0 ) )</f>
        <v>61.488499383561589</v>
      </c>
      <c r="P40" s="11">
        <f xml:space="preserve"> INDEX( SplitScreenStrip!$13:$23, MATCH( $E40, SplitScreenStrip!$E$13:$E$23, 0 ), MATCH( "+"&amp;P$26, SplitScreenStrip!$12:$12, 0 ) )</f>
        <v>155.23619796397267</v>
      </c>
      <c r="Q40" s="11">
        <f xml:space="preserve"> INDEX( SplitScreenStrip!$13:$23, MATCH( $E40, SplitScreenStrip!$E$13:$E$23, 0 ), MATCH( "+"&amp;Q$26, SplitScreenStrip!$12:$12, 0 ) )</f>
        <v>270.45394137930379</v>
      </c>
    </row>
    <row r="41" spans="1:17" s="11" customFormat="1" x14ac:dyDescent="0.3">
      <c r="A41" s="15"/>
      <c r="B41" s="15"/>
      <c r="C41" s="15"/>
      <c r="D41" s="166"/>
      <c r="E41" s="223" t="s">
        <v>271</v>
      </c>
      <c r="F41" s="166"/>
      <c r="G41" s="166"/>
      <c r="H41" s="167" t="s">
        <v>274</v>
      </c>
      <c r="I41" s="11" t="s">
        <v>58</v>
      </c>
      <c r="J41" s="14" t="s">
        <v>21</v>
      </c>
      <c r="L41" s="12">
        <f xml:space="preserve"> (-1) * INDEX( SplitScreenStrip!$13:$23, MATCH( $E41, SplitScreenStrip!$E$13:$E$23, 0 ), MATCH( "+"&amp;L$26, SplitScreenStrip!$12:$12, 0 ) )</f>
        <v>0</v>
      </c>
      <c r="M41" s="11">
        <f xml:space="preserve"> (-1) * INDEX( SplitScreenStrip!$13:$23, MATCH( $E41, SplitScreenStrip!$E$13:$E$23, 0 ), MATCH( "+"&amp;M$26, SplitScreenStrip!$12:$12, 0 ) )</f>
        <v>-240</v>
      </c>
      <c r="N41" s="11">
        <f xml:space="preserve"> (-1) * INDEX( SplitScreenStrip!$13:$23, MATCH( $E41, SplitScreenStrip!$E$13:$E$23, 0 ), MATCH( "+"&amp;N$26, SplitScreenStrip!$12:$12, 0 ) )</f>
        <v>-192</v>
      </c>
      <c r="O41" s="11">
        <f xml:space="preserve"> (-1) * INDEX( SplitScreenStrip!$13:$23, MATCH( $E41, SplitScreenStrip!$E$13:$E$23, 0 ), MATCH( "+"&amp;O$26, SplitScreenStrip!$12:$12, 0 ) )</f>
        <v>-144</v>
      </c>
      <c r="P41" s="11">
        <f xml:space="preserve"> (-1) * INDEX( SplitScreenStrip!$13:$23, MATCH( $E41, SplitScreenStrip!$E$13:$E$23, 0 ), MATCH( "+"&amp;P$26, SplitScreenStrip!$12:$12, 0 ) )</f>
        <v>-96</v>
      </c>
      <c r="Q41" s="11">
        <f xml:space="preserve"> (-1) * INDEX( SplitScreenStrip!$13:$23, MATCH( $E41, SplitScreenStrip!$E$13:$E$23, 0 ), MATCH( "+"&amp;Q$26, SplitScreenStrip!$12:$12, 0 ) )</f>
        <v>-48</v>
      </c>
    </row>
    <row r="42" spans="1:17" s="120" customFormat="1" x14ac:dyDescent="0.3">
      <c r="A42" s="183"/>
      <c r="B42" s="183"/>
      <c r="C42" s="183"/>
      <c r="E42" s="184"/>
      <c r="H42" s="446" t="s">
        <v>24</v>
      </c>
      <c r="I42" s="120" t="s">
        <v>528</v>
      </c>
      <c r="J42" s="185" t="s">
        <v>21</v>
      </c>
      <c r="L42" s="186">
        <f t="shared" ref="L42:Q42" si="9" xml:space="preserve"> SUM( L39:L41 )</f>
        <v>0</v>
      </c>
      <c r="M42" s="120">
        <f t="shared" si="9"/>
        <v>1666.25</v>
      </c>
      <c r="N42" s="120">
        <f t="shared" si="9"/>
        <v>2995.1716780821916</v>
      </c>
      <c r="O42" s="120">
        <f t="shared" si="9"/>
        <v>4437.4884993835612</v>
      </c>
      <c r="P42" s="120">
        <f t="shared" si="9"/>
        <v>6031.2361979639727</v>
      </c>
      <c r="Q42" s="120">
        <f t="shared" si="9"/>
        <v>7791.9539413793036</v>
      </c>
    </row>
    <row r="43" spans="1:17" s="11" customFormat="1" x14ac:dyDescent="0.3">
      <c r="A43" s="15"/>
      <c r="B43" s="15"/>
      <c r="C43" s="15"/>
      <c r="D43" s="166"/>
      <c r="E43" s="220" t="s">
        <v>17</v>
      </c>
      <c r="F43" s="166"/>
      <c r="G43" s="166"/>
      <c r="H43" s="164" t="s">
        <v>17</v>
      </c>
      <c r="I43" s="11" t="s">
        <v>56</v>
      </c>
      <c r="J43" s="14" t="s">
        <v>21</v>
      </c>
      <c r="L43" s="12">
        <f xml:space="preserve"> INDEX( SplitScreenStrip!$13:$23, MATCH( $E43, SplitScreenStrip!$E$13:$E$23, 0 ), MATCH( "+"&amp;L$26, SplitScreenStrip!$12:$12, 0 ) )</f>
        <v>0</v>
      </c>
      <c r="M43" s="11">
        <f xml:space="preserve"> INDEX( SplitScreenStrip!$13:$23, MATCH( $E43, SplitScreenStrip!$E$13:$E$23, 0 ), MATCH( "+"&amp;M$26, SplitScreenStrip!$12:$12, 0 ) )</f>
        <v>-499.875</v>
      </c>
      <c r="N43" s="11">
        <f xml:space="preserve"> INDEX( SplitScreenStrip!$13:$23, MATCH( $E43, SplitScreenStrip!$E$13:$E$23, 0 ), MATCH( "+"&amp;N$26, SplitScreenStrip!$12:$12, 0 ) )</f>
        <v>-898.55150342465743</v>
      </c>
      <c r="O43" s="11">
        <f xml:space="preserve"> INDEX( SplitScreenStrip!$13:$23, MATCH( $E43, SplitScreenStrip!$E$13:$E$23, 0 ), MATCH( "+"&amp;O$26, SplitScreenStrip!$12:$12, 0 ) )</f>
        <v>-1331.2465498150684</v>
      </c>
      <c r="P43" s="11">
        <f xml:space="preserve"> INDEX( SplitScreenStrip!$13:$23, MATCH( $E43, SplitScreenStrip!$E$13:$E$23, 0 ), MATCH( "+"&amp;P$26, SplitScreenStrip!$12:$12, 0 ) )</f>
        <v>-1809.3708593891918</v>
      </c>
      <c r="Q43" s="11">
        <f xml:space="preserve"> INDEX( SplitScreenStrip!$13:$23, MATCH( $E43, SplitScreenStrip!$E$13:$E$23, 0 ), MATCH( "+"&amp;Q$26, SplitScreenStrip!$12:$12, 0 ) )</f>
        <v>-2337.586182413791</v>
      </c>
    </row>
    <row r="44" spans="1:17" s="429" customFormat="1" ht="14.4" x14ac:dyDescent="0.3">
      <c r="A44" s="425"/>
      <c r="B44" s="425"/>
      <c r="C44" s="425"/>
      <c r="D44" s="426"/>
      <c r="E44" s="427" t="s">
        <v>273</v>
      </c>
      <c r="F44" s="426"/>
      <c r="G44" s="426"/>
      <c r="H44" s="428" t="s">
        <v>235</v>
      </c>
      <c r="I44" s="429" t="s">
        <v>23</v>
      </c>
      <c r="J44" s="430" t="s">
        <v>21</v>
      </c>
      <c r="L44" s="431">
        <f t="shared" ref="L44:Q44" si="10" xml:space="preserve"> SUM( L42:L43 )</f>
        <v>0</v>
      </c>
      <c r="M44" s="429">
        <f t="shared" si="10"/>
        <v>1166.375</v>
      </c>
      <c r="N44" s="429">
        <f t="shared" si="10"/>
        <v>2096.6201746575343</v>
      </c>
      <c r="O44" s="429">
        <f t="shared" si="10"/>
        <v>3106.2419495684926</v>
      </c>
      <c r="P44" s="429">
        <f t="shared" si="10"/>
        <v>4221.8653385747812</v>
      </c>
      <c r="Q44" s="429">
        <f t="shared" si="10"/>
        <v>5454.3677589655126</v>
      </c>
    </row>
    <row r="45" spans="1:17" s="30" customFormat="1" x14ac:dyDescent="0.3">
      <c r="A45" s="2"/>
      <c r="B45" s="2"/>
      <c r="C45" s="2"/>
      <c r="D45" s="2"/>
      <c r="E45" s="2"/>
      <c r="F45" s="2"/>
      <c r="G45" s="2"/>
      <c r="H45" s="2"/>
      <c r="I45" s="3"/>
      <c r="J45" s="32"/>
      <c r="K45" s="31"/>
      <c r="L45" s="252"/>
      <c r="M45" s="253"/>
      <c r="N45" s="28"/>
      <c r="O45" s="28"/>
      <c r="P45" s="28"/>
      <c r="Q45" s="28"/>
    </row>
    <row r="46" spans="1:17" s="439" customFormat="1" ht="18.600000000000001" x14ac:dyDescent="0.3">
      <c r="A46" s="435"/>
      <c r="B46" s="435"/>
      <c r="C46" s="435"/>
      <c r="D46" s="435"/>
      <c r="E46" s="435"/>
      <c r="F46" s="435"/>
      <c r="G46" s="435"/>
      <c r="H46" s="435"/>
      <c r="I46" s="436" t="s">
        <v>307</v>
      </c>
      <c r="J46" s="435"/>
      <c r="K46" s="436"/>
      <c r="L46" s="437" t="s">
        <v>42</v>
      </c>
      <c r="M46" s="438" t="s">
        <v>43</v>
      </c>
      <c r="N46" s="438" t="s">
        <v>44</v>
      </c>
      <c r="O46" s="438" t="s">
        <v>45</v>
      </c>
      <c r="P46" s="438" t="s">
        <v>46</v>
      </c>
      <c r="Q46" s="438" t="s">
        <v>47</v>
      </c>
    </row>
    <row r="47" spans="1:17" s="62" customFormat="1" ht="4.2" x14ac:dyDescent="0.3">
      <c r="D47" s="254"/>
      <c r="L47" s="255"/>
    </row>
    <row r="48" spans="1:17" s="11" customFormat="1" ht="14.4" x14ac:dyDescent="0.3">
      <c r="A48" s="15"/>
      <c r="B48" s="15"/>
      <c r="C48" s="15"/>
      <c r="D48" s="27"/>
      <c r="E48" s="27"/>
      <c r="F48" s="223" t="s">
        <v>322</v>
      </c>
      <c r="G48" s="216"/>
      <c r="H48" s="167" t="s">
        <v>320</v>
      </c>
      <c r="I48" s="11" t="s">
        <v>170</v>
      </c>
      <c r="J48" s="14" t="s">
        <v>21</v>
      </c>
      <c r="L48" s="12">
        <f xml:space="preserve"> (-1) * INDEX( SplitScreenStrip!$13:$23, MATCH( $F48, SplitScreenStrip!$F$13:$F$23, 0 ), MATCH( "–"&amp;L$46, SplitScreenStrip!$12:$12, 0 ) )</f>
        <v>0</v>
      </c>
      <c r="M48" s="11">
        <f xml:space="preserve"> (-1) * INDEX( SplitScreenStrip!$13:$23, MATCH( $F48, SplitScreenStrip!$F$13:$F$23, 0 ), MATCH( "–"&amp;M$46, SplitScreenStrip!$12:$12, 0 ) )</f>
        <v>55068.493150684932</v>
      </c>
      <c r="N48" s="11">
        <f xml:space="preserve"> (-1) * INDEX( SplitScreenStrip!$13:$23, MATCH( $F48, SplitScreenStrip!$F$13:$F$23, 0 ), MATCH( "–"&amp;N$46, SplitScreenStrip!$12:$12, 0 ) )</f>
        <v>65506.849315068495</v>
      </c>
      <c r="O48" s="11">
        <f xml:space="preserve"> (-1) * INDEX( SplitScreenStrip!$13:$23, MATCH( $F48, SplitScreenStrip!$F$13:$F$23, 0 ), MATCH( "–"&amp;O$46, SplitScreenStrip!$12:$12, 0 ) )</f>
        <v>72057.534246575349</v>
      </c>
      <c r="P48" s="11">
        <f xml:space="preserve"> (-1) * INDEX( SplitScreenStrip!$13:$23, MATCH( $F48, SplitScreenStrip!$F$13:$F$23, 0 ), MATCH( "–"&amp;P$46, SplitScreenStrip!$12:$12, 0 ) )</f>
        <v>79263.287671232873</v>
      </c>
      <c r="Q48" s="11">
        <f xml:space="preserve"> (-1) * INDEX( SplitScreenStrip!$13:$23, MATCH( $F48, SplitScreenStrip!$F$13:$F$23, 0 ), MATCH( "–"&amp;Q$46, SplitScreenStrip!$12:$12, 0 ) )</f>
        <v>94413.835616438359</v>
      </c>
    </row>
    <row r="49" spans="1:17" s="11" customFormat="1" ht="14.4" x14ac:dyDescent="0.3">
      <c r="A49" s="15"/>
      <c r="B49" s="15"/>
      <c r="C49" s="15"/>
      <c r="D49" s="166"/>
      <c r="E49" s="220" t="s">
        <v>333</v>
      </c>
      <c r="F49" s="166"/>
      <c r="G49" s="166"/>
      <c r="H49" s="164" t="s">
        <v>334</v>
      </c>
      <c r="I49" s="11" t="s">
        <v>57</v>
      </c>
      <c r="J49" s="14" t="s">
        <v>21</v>
      </c>
      <c r="L49" s="12">
        <f xml:space="preserve"> INDEX( SplitScreenStrip!$13:$23, MATCH( $E49, SplitScreenStrip!$E$13:$E$23, 0 ), MATCH( "+"&amp;L$26, SplitScreenStrip!$12:$12, 0 ) )</f>
        <v>0</v>
      </c>
      <c r="M49" s="11">
        <f xml:space="preserve"> INDEX( SplitScreenStrip!$13:$23, MATCH( $E49, SplitScreenStrip!$E$13:$E$23, 0 ), MATCH( "+"&amp;M$26, SplitScreenStrip!$12:$12, 0 ) )</f>
        <v>-93.75</v>
      </c>
      <c r="N49" s="11">
        <f xml:space="preserve"> INDEX( SplitScreenStrip!$13:$23, MATCH( $E49, SplitScreenStrip!$E$13:$E$23, 0 ), MATCH( "+"&amp;N$26, SplitScreenStrip!$12:$12, 0 ) )</f>
        <v>-12.828321917808319</v>
      </c>
      <c r="O49" s="11">
        <f xml:space="preserve"> INDEX( SplitScreenStrip!$13:$23, MATCH( $E49, SplitScreenStrip!$E$13:$E$23, 0 ), MATCH( "+"&amp;O$26, SplitScreenStrip!$12:$12, 0 ) )</f>
        <v>61.488499383561589</v>
      </c>
      <c r="P49" s="11">
        <f xml:space="preserve"> INDEX( SplitScreenStrip!$13:$23, MATCH( $E49, SplitScreenStrip!$E$13:$E$23, 0 ), MATCH( "+"&amp;P$26, SplitScreenStrip!$12:$12, 0 ) )</f>
        <v>155.23619796397267</v>
      </c>
      <c r="Q49" s="11">
        <f xml:space="preserve"> INDEX( SplitScreenStrip!$13:$23, MATCH( $E49, SplitScreenStrip!$E$13:$E$23, 0 ), MATCH( "+"&amp;Q$26, SplitScreenStrip!$12:$12, 0 ) )</f>
        <v>270.45394137930379</v>
      </c>
    </row>
    <row r="50" spans="1:17" s="11" customFormat="1" ht="14.4" x14ac:dyDescent="0.3">
      <c r="A50" s="15"/>
      <c r="B50" s="15"/>
      <c r="C50" s="15"/>
      <c r="D50" s="27"/>
      <c r="E50" s="27"/>
      <c r="F50" s="223" t="s">
        <v>323</v>
      </c>
      <c r="G50" s="216"/>
      <c r="H50" s="167" t="s">
        <v>314</v>
      </c>
      <c r="I50" s="11" t="s">
        <v>130</v>
      </c>
      <c r="J50" s="14" t="s">
        <v>21</v>
      </c>
      <c r="L50" s="12">
        <f xml:space="preserve"> (-1) * INDEX( SplitScreenStrip!$13:$23, MATCH( $F50, SplitScreenStrip!$F$13:$F$23, 0 ), MATCH( "–"&amp;L$46, SplitScreenStrip!$12:$12, 0 ) )</f>
        <v>-3750</v>
      </c>
      <c r="M50" s="11">
        <f xml:space="preserve"> (-1) * INDEX( SplitScreenStrip!$13:$23, MATCH( $F50, SplitScreenStrip!$F$13:$F$23, 0 ), MATCH( "–"&amp;M$46, SplitScreenStrip!$12:$12, 0 ) )</f>
        <v>-11583.904109589041</v>
      </c>
      <c r="N50" s="11">
        <f xml:space="preserve"> (-1) * INDEX( SplitScreenStrip!$13:$23, MATCH( $F50, SplitScreenStrip!$F$13:$F$23, 0 ), MATCH( "–"&amp;N$46, SplitScreenStrip!$12:$12, 0 ) )</f>
        <v>-16533.390410958906</v>
      </c>
      <c r="O50" s="11">
        <f xml:space="preserve"> (-1) * INDEX( SplitScreenStrip!$13:$23, MATCH( $F50, SplitScreenStrip!$F$13:$F$23, 0 ), MATCH( "–"&amp;O$46, SplitScreenStrip!$12:$12, 0 ) )</f>
        <v>-18186.729452054795</v>
      </c>
      <c r="P50" s="11">
        <f xml:space="preserve"> (-1) * INDEX( SplitScreenStrip!$13:$23, MATCH( $F50, SplitScreenStrip!$F$13:$F$23, 0 ), MATCH( "–"&amp;P$46, SplitScreenStrip!$12:$12, 0 ) )</f>
        <v>-20005.590753424658</v>
      </c>
      <c r="Q50" s="11">
        <f xml:space="preserve"> (-1) * INDEX( SplitScreenStrip!$13:$23, MATCH( $F50, SplitScreenStrip!$F$13:$F$23, 0 ), MATCH( "–"&amp;Q$46, SplitScreenStrip!$12:$12, 0 ) )</f>
        <v>-21517.885273972603</v>
      </c>
    </row>
    <row r="51" spans="1:17" s="11" customFormat="1" ht="14.4" x14ac:dyDescent="0.3">
      <c r="A51" s="15"/>
      <c r="B51" s="15"/>
      <c r="C51" s="15"/>
      <c r="D51" s="27"/>
      <c r="E51" s="27"/>
      <c r="F51" s="223" t="s">
        <v>324</v>
      </c>
      <c r="G51" s="216"/>
      <c r="H51" s="167" t="s">
        <v>315</v>
      </c>
      <c r="I51" s="11" t="s">
        <v>131</v>
      </c>
      <c r="J51" s="14" t="s">
        <v>21</v>
      </c>
      <c r="L51" s="12">
        <f xml:space="preserve"> (-1) * INDEX( SplitScreenStrip!$13:$23, MATCH( $F51, SplitScreenStrip!$F$13:$F$23, 0 ), MATCH( "–"&amp;L$46, SplitScreenStrip!$12:$12, 0 ) )</f>
        <v>0</v>
      </c>
      <c r="M51" s="11">
        <f xml:space="preserve"> (-1) * INDEX( SplitScreenStrip!$13:$23, MATCH( $F51, SplitScreenStrip!$F$13:$F$23, 0 ), MATCH( "–"&amp;M$46, SplitScreenStrip!$12:$12, 0 ) )</f>
        <v>-6780.821917808219</v>
      </c>
      <c r="N51" s="11">
        <f xml:space="preserve"> (-1) * INDEX( SplitScreenStrip!$13:$23, MATCH( $F51, SplitScreenStrip!$F$13:$F$23, 0 ), MATCH( "–"&amp;N$46, SplitScreenStrip!$12:$12, 0 ) )</f>
        <v>-9678.0821917808225</v>
      </c>
      <c r="O51" s="11">
        <f xml:space="preserve"> (-1) * INDEX( SplitScreenStrip!$13:$23, MATCH( $F51, SplitScreenStrip!$F$13:$F$23, 0 ), MATCH( "–"&amp;O$46, SplitScreenStrip!$12:$12, 0 ) )</f>
        <v>-10645.890410958904</v>
      </c>
      <c r="P51" s="11">
        <f xml:space="preserve"> (-1) * INDEX( SplitScreenStrip!$13:$23, MATCH( $F51, SplitScreenStrip!$F$13:$F$23, 0 ), MATCH( "–"&amp;P$46, SplitScreenStrip!$12:$12, 0 ) )</f>
        <v>-11710.479452054795</v>
      </c>
      <c r="Q51" s="11">
        <f xml:space="preserve"> (-1) * INDEX( SplitScreenStrip!$13:$23, MATCH( $F51, SplitScreenStrip!$F$13:$F$23, 0 ), MATCH( "–"&amp;Q$46, SplitScreenStrip!$12:$12, 0 ) )</f>
        <v>-16131.726027397261</v>
      </c>
    </row>
    <row r="52" spans="1:17" s="11" customFormat="1" ht="14.4" x14ac:dyDescent="0.3">
      <c r="A52" s="15"/>
      <c r="B52" s="15"/>
      <c r="C52" s="15"/>
      <c r="D52" s="27"/>
      <c r="E52" s="27"/>
      <c r="F52" s="223" t="s">
        <v>325</v>
      </c>
      <c r="G52" s="216"/>
      <c r="H52" s="167" t="s">
        <v>316</v>
      </c>
      <c r="I52" s="11" t="s">
        <v>132</v>
      </c>
      <c r="J52" s="14" t="s">
        <v>21</v>
      </c>
      <c r="L52" s="12">
        <f xml:space="preserve"> (-1) * INDEX( SplitScreenStrip!$13:$23, MATCH( $F52, SplitScreenStrip!$F$13:$F$23, 0 ), MATCH( "–"&amp;L$46, SplitScreenStrip!$12:$12, 0 ) )</f>
        <v>0</v>
      </c>
      <c r="M52" s="11">
        <f xml:space="preserve"> (-1) * INDEX( SplitScreenStrip!$13:$23, MATCH( $F52, SplitScreenStrip!$F$13:$F$23, 0 ), MATCH( "–"&amp;M$46, SplitScreenStrip!$12:$12, 0 ) )</f>
        <v>-24000</v>
      </c>
      <c r="N52" s="11">
        <f xml:space="preserve"> (-1) * INDEX( SplitScreenStrip!$13:$23, MATCH( $F52, SplitScreenStrip!$F$13:$F$23, 0 ), MATCH( "–"&amp;N$46, SplitScreenStrip!$12:$12, 0 ) )</f>
        <v>-26400</v>
      </c>
      <c r="O52" s="11">
        <f xml:space="preserve"> (-1) * INDEX( SplitScreenStrip!$13:$23, MATCH( $F52, SplitScreenStrip!$F$13:$F$23, 0 ), MATCH( "–"&amp;O$46, SplitScreenStrip!$12:$12, 0 ) )</f>
        <v>-29040</v>
      </c>
      <c r="P52" s="11">
        <f xml:space="preserve"> (-1) * INDEX( SplitScreenStrip!$13:$23, MATCH( $F52, SplitScreenStrip!$F$13:$F$23, 0 ), MATCH( "–"&amp;P$46, SplitScreenStrip!$12:$12, 0 ) )</f>
        <v>-31944</v>
      </c>
      <c r="Q52" s="11">
        <f xml:space="preserve"> (-1) * INDEX( SplitScreenStrip!$13:$23, MATCH( $F52, SplitScreenStrip!$F$13:$F$23, 0 ), MATCH( "–"&amp;Q$46, SplitScreenStrip!$12:$12, 0 ) )</f>
        <v>-35140</v>
      </c>
    </row>
    <row r="53" spans="1:17" s="11" customFormat="1" ht="14.4" x14ac:dyDescent="0.3">
      <c r="A53" s="15"/>
      <c r="B53" s="15"/>
      <c r="C53" s="15"/>
      <c r="D53" s="27"/>
      <c r="E53" s="27"/>
      <c r="F53" s="223" t="s">
        <v>326</v>
      </c>
      <c r="G53" s="216"/>
      <c r="H53" s="167" t="s">
        <v>317</v>
      </c>
      <c r="I53" s="11" t="s">
        <v>133</v>
      </c>
      <c r="J53" s="14" t="s">
        <v>21</v>
      </c>
      <c r="L53" s="12">
        <f xml:space="preserve"> (-1) * INDEX( SplitScreenStrip!$13:$23, MATCH( $F53, SplitScreenStrip!$F$13:$F$23, 0 ), MATCH( "–"&amp;L$46, SplitScreenStrip!$12:$12, 0 ) )</f>
        <v>0</v>
      </c>
      <c r="M53" s="11">
        <f xml:space="preserve"> (-1) * INDEX( SplitScreenStrip!$13:$23, MATCH( $F53, SplitScreenStrip!$F$13:$F$23, 0 ), MATCH( "–"&amp;M$46, SplitScreenStrip!$12:$12, 0 ) )</f>
        <v>-6000</v>
      </c>
      <c r="N53" s="11">
        <f xml:space="preserve"> (-1) * INDEX( SplitScreenStrip!$13:$23, MATCH( $F53, SplitScreenStrip!$F$13:$F$23, 0 ), MATCH( "–"&amp;N$46, SplitScreenStrip!$12:$12, 0 ) )</f>
        <v>-6000</v>
      </c>
      <c r="O53" s="11">
        <f xml:space="preserve"> (-1) * INDEX( SplitScreenStrip!$13:$23, MATCH( $F53, SplitScreenStrip!$F$13:$F$23, 0 ), MATCH( "–"&amp;O$46, SplitScreenStrip!$12:$12, 0 ) )</f>
        <v>-6000</v>
      </c>
      <c r="P53" s="11">
        <f xml:space="preserve"> (-1) * INDEX( SplitScreenStrip!$13:$23, MATCH( $F53, SplitScreenStrip!$F$13:$F$23, 0 ), MATCH( "–"&amp;P$46, SplitScreenStrip!$12:$12, 0 ) )</f>
        <v>-6000</v>
      </c>
      <c r="Q53" s="11">
        <f xml:space="preserve"> (-1) * INDEX( SplitScreenStrip!$13:$23, MATCH( $F53, SplitScreenStrip!$F$13:$F$23, 0 ), MATCH( "–"&amp;Q$46, SplitScreenStrip!$12:$12, 0 ) )</f>
        <v>-6000</v>
      </c>
    </row>
    <row r="54" spans="1:17" s="11" customFormat="1" ht="14.4" x14ac:dyDescent="0.3">
      <c r="A54" s="15"/>
      <c r="B54" s="15"/>
      <c r="C54" s="15"/>
      <c r="D54" s="166"/>
      <c r="E54" s="223" t="s">
        <v>281</v>
      </c>
      <c r="F54" s="166"/>
      <c r="G54" s="166"/>
      <c r="H54" s="167" t="s">
        <v>529</v>
      </c>
      <c r="I54" s="11" t="s">
        <v>319</v>
      </c>
      <c r="J54" s="14" t="s">
        <v>21</v>
      </c>
      <c r="L54" s="12">
        <f xml:space="preserve"> (-1) * INDEX( SplitScreenStrip!$13:$23, MATCH( $E54, SplitScreenStrip!$E$13:$E$23, 0 ), MATCH( "+"&amp;L$26, SplitScreenStrip!$12:$12, 0 ) )</f>
        <v>0</v>
      </c>
      <c r="M54" s="11">
        <f xml:space="preserve"> (-1) * INDEX( SplitScreenStrip!$13:$23, MATCH( $E54, SplitScreenStrip!$E$13:$E$23, 0 ), MATCH( "+"&amp;M$26, SplitScreenStrip!$12:$12, 0 ) )</f>
        <v>-240</v>
      </c>
      <c r="N54" s="11">
        <f xml:space="preserve"> (-1) * INDEX( SplitScreenStrip!$13:$23, MATCH( $E54, SplitScreenStrip!$E$13:$E$23, 0 ), MATCH( "+"&amp;N$26, SplitScreenStrip!$12:$12, 0 ) )</f>
        <v>-192</v>
      </c>
      <c r="O54" s="11">
        <f xml:space="preserve"> (-1) * INDEX( SplitScreenStrip!$13:$23, MATCH( $E54, SplitScreenStrip!$E$13:$E$23, 0 ), MATCH( "+"&amp;O$26, SplitScreenStrip!$12:$12, 0 ) )</f>
        <v>-144</v>
      </c>
      <c r="P54" s="11">
        <f xml:space="preserve"> (-1) * INDEX( SplitScreenStrip!$13:$23, MATCH( $E54, SplitScreenStrip!$E$13:$E$23, 0 ), MATCH( "+"&amp;P$26, SplitScreenStrip!$12:$12, 0 ) )</f>
        <v>-96</v>
      </c>
      <c r="Q54" s="11">
        <f xml:space="preserve"> (-1) * INDEX( SplitScreenStrip!$13:$23, MATCH( $E54, SplitScreenStrip!$E$13:$E$23, 0 ), MATCH( "+"&amp;Q$26, SplitScreenStrip!$12:$12, 0 ) )</f>
        <v>-48</v>
      </c>
    </row>
    <row r="55" spans="1:17" s="11" customFormat="1" ht="14.4" x14ac:dyDescent="0.3">
      <c r="A55" s="15"/>
      <c r="B55" s="15"/>
      <c r="C55" s="15"/>
      <c r="D55" s="27"/>
      <c r="E55" s="27"/>
      <c r="F55" s="223" t="s">
        <v>327</v>
      </c>
      <c r="G55" s="216"/>
      <c r="H55" s="167" t="s">
        <v>318</v>
      </c>
      <c r="I55" s="11" t="s">
        <v>305</v>
      </c>
      <c r="J55" s="14" t="s">
        <v>21</v>
      </c>
      <c r="L55" s="12">
        <f xml:space="preserve"> (-1) * INDEX( SplitScreenStrip!$13:$23, MATCH( $F55, SplitScreenStrip!$F$13:$F$23, 0 ), MATCH( "–"&amp;L$46, SplitScreenStrip!$12:$12, 0 ) )</f>
        <v>0</v>
      </c>
      <c r="M55" s="11">
        <f xml:space="preserve"> (-1) * INDEX( SplitScreenStrip!$13:$23, MATCH( $F55, SplitScreenStrip!$F$13:$F$23, 0 ), MATCH( "–"&amp;M$46, SplitScreenStrip!$12:$12, 0 ) )</f>
        <v>-499.875</v>
      </c>
      <c r="N55" s="11">
        <f xml:space="preserve"> (-1) * INDEX( SplitScreenStrip!$13:$23, MATCH( $F55, SplitScreenStrip!$F$13:$F$23, 0 ), MATCH( "–"&amp;N$46, SplitScreenStrip!$12:$12, 0 ) )</f>
        <v>-898.55150342465743</v>
      </c>
      <c r="O55" s="11">
        <f xml:space="preserve"> (-1) * INDEX( SplitScreenStrip!$13:$23, MATCH( $F55, SplitScreenStrip!$F$13:$F$23, 0 ), MATCH( "–"&amp;O$46, SplitScreenStrip!$12:$12, 0 ) )</f>
        <v>-1331.2465498150684</v>
      </c>
      <c r="P55" s="11">
        <f xml:space="preserve"> (-1) * INDEX( SplitScreenStrip!$13:$23, MATCH( $F55, SplitScreenStrip!$F$13:$F$23, 0 ), MATCH( "–"&amp;P$46, SplitScreenStrip!$12:$12, 0 ) )</f>
        <v>-1809.3708593891918</v>
      </c>
      <c r="Q55" s="11">
        <f xml:space="preserve"> (-1) * INDEX( SplitScreenStrip!$13:$23, MATCH( $F55, SplitScreenStrip!$F$13:$F$23, 0 ), MATCH( "–"&amp;Q$46, SplitScreenStrip!$12:$12, 0 ) )</f>
        <v>-2337.586182413791</v>
      </c>
    </row>
    <row r="56" spans="1:17" s="120" customFormat="1" x14ac:dyDescent="0.3">
      <c r="A56" s="183"/>
      <c r="B56" s="183"/>
      <c r="C56" s="183"/>
      <c r="E56" s="184"/>
      <c r="H56" s="227" t="s">
        <v>308</v>
      </c>
      <c r="I56" s="120" t="s">
        <v>603</v>
      </c>
      <c r="J56" s="185" t="s">
        <v>21</v>
      </c>
      <c r="L56" s="186">
        <f t="shared" ref="L56:Q56" si="11" xml:space="preserve"> SUM( L48:L55 )</f>
        <v>-3750</v>
      </c>
      <c r="M56" s="120">
        <f t="shared" si="11"/>
        <v>5870.1421232876673</v>
      </c>
      <c r="N56" s="120">
        <f t="shared" si="11"/>
        <v>5791.9968869863069</v>
      </c>
      <c r="O56" s="120">
        <f t="shared" si="11"/>
        <v>6771.1563331301386</v>
      </c>
      <c r="P56" s="120">
        <f t="shared" si="11"/>
        <v>7853.0828043281963</v>
      </c>
      <c r="Q56" s="120">
        <f t="shared" si="11"/>
        <v>13509.092074034015</v>
      </c>
    </row>
    <row r="57" spans="1:17" s="21" customFormat="1" ht="4.2" x14ac:dyDescent="0.3">
      <c r="A57" s="24"/>
      <c r="B57" s="24"/>
      <c r="C57" s="24"/>
      <c r="E57" s="24"/>
      <c r="F57" s="24"/>
      <c r="G57" s="24"/>
      <c r="H57" s="24"/>
      <c r="I57" s="25"/>
      <c r="J57" s="24"/>
      <c r="K57" s="23"/>
      <c r="L57" s="22"/>
    </row>
    <row r="58" spans="1:17" s="11" customFormat="1" ht="26.4" x14ac:dyDescent="0.3">
      <c r="A58" s="15"/>
      <c r="B58" s="15"/>
      <c r="C58" s="15"/>
      <c r="D58" s="27"/>
      <c r="E58" s="27"/>
      <c r="F58" s="223" t="s">
        <v>328</v>
      </c>
      <c r="G58" s="216"/>
      <c r="H58" s="167" t="s">
        <v>312</v>
      </c>
      <c r="I58" s="225" t="s">
        <v>313</v>
      </c>
      <c r="J58" s="14" t="s">
        <v>21</v>
      </c>
      <c r="L58" s="12">
        <f xml:space="preserve"> (-1) * INDEX( SplitScreenStrip!$13:$23, MATCH( $F58, SplitScreenStrip!$F$13:$F$23, 0 ), MATCH( "–"&amp;L$46, SplitScreenStrip!$12:$12, 0 ) )</f>
        <v>-20000</v>
      </c>
      <c r="M58" s="11">
        <f xml:space="preserve"> (-1) * INDEX( SplitScreenStrip!$13:$23, MATCH( $F58, SplitScreenStrip!$F$13:$F$23, 0 ), MATCH( "–"&amp;M$46, SplitScreenStrip!$12:$12, 0 ) )</f>
        <v>0</v>
      </c>
      <c r="N58" s="11">
        <f xml:space="preserve"> (-1) * INDEX( SplitScreenStrip!$13:$23, MATCH( $F58, SplitScreenStrip!$F$13:$F$23, 0 ), MATCH( "–"&amp;N$46, SplitScreenStrip!$12:$12, 0 ) )</f>
        <v>0</v>
      </c>
      <c r="O58" s="11">
        <f xml:space="preserve"> (-1) * INDEX( SplitScreenStrip!$13:$23, MATCH( $F58, SplitScreenStrip!$F$13:$F$23, 0 ), MATCH( "–"&amp;O$46, SplitScreenStrip!$12:$12, 0 ) )</f>
        <v>0</v>
      </c>
      <c r="P58" s="11">
        <f xml:space="preserve"> (-1) * INDEX( SplitScreenStrip!$13:$23, MATCH( $F58, SplitScreenStrip!$F$13:$F$23, 0 ), MATCH( "–"&amp;P$46, SplitScreenStrip!$12:$12, 0 ) )</f>
        <v>0</v>
      </c>
      <c r="Q58" s="11">
        <f xml:space="preserve"> (-1) * INDEX( SplitScreenStrip!$13:$23, MATCH( $F58, SplitScreenStrip!$F$13:$F$23, 0 ), MATCH( "–"&amp;Q$46, SplitScreenStrip!$12:$12, 0 ) )</f>
        <v>0</v>
      </c>
    </row>
    <row r="59" spans="1:17" s="120" customFormat="1" x14ac:dyDescent="0.3">
      <c r="A59" s="183"/>
      <c r="B59" s="183"/>
      <c r="C59" s="183"/>
      <c r="E59" s="184"/>
      <c r="H59" s="227" t="s">
        <v>309</v>
      </c>
      <c r="I59" s="120" t="s">
        <v>604</v>
      </c>
      <c r="J59" s="185" t="s">
        <v>21</v>
      </c>
      <c r="L59" s="186">
        <f t="shared" ref="L59:Q59" si="12" xml:space="preserve"> SUM( L58 )</f>
        <v>-20000</v>
      </c>
      <c r="M59" s="120">
        <f t="shared" si="12"/>
        <v>0</v>
      </c>
      <c r="N59" s="120">
        <f t="shared" si="12"/>
        <v>0</v>
      </c>
      <c r="O59" s="120">
        <f t="shared" si="12"/>
        <v>0</v>
      </c>
      <c r="P59" s="120">
        <f t="shared" si="12"/>
        <v>0</v>
      </c>
      <c r="Q59" s="120">
        <f t="shared" si="12"/>
        <v>0</v>
      </c>
    </row>
    <row r="60" spans="1:17" s="21" customFormat="1" ht="4.2" x14ac:dyDescent="0.3">
      <c r="A60" s="24"/>
      <c r="B60" s="24"/>
      <c r="C60" s="24"/>
      <c r="E60" s="24"/>
      <c r="F60" s="24"/>
      <c r="G60" s="24"/>
      <c r="H60" s="24"/>
      <c r="I60" s="25"/>
      <c r="J60" s="24"/>
      <c r="K60" s="23"/>
      <c r="L60" s="22"/>
    </row>
    <row r="61" spans="1:17" s="235" customFormat="1" ht="12" x14ac:dyDescent="0.3">
      <c r="A61" s="116"/>
      <c r="B61" s="116"/>
      <c r="C61" s="116"/>
      <c r="D61" s="230" t="s">
        <v>370</v>
      </c>
      <c r="E61" s="231"/>
      <c r="F61" s="231"/>
      <c r="G61" s="231"/>
      <c r="H61" s="230" t="s">
        <v>369</v>
      </c>
      <c r="I61" s="232" t="s">
        <v>127</v>
      </c>
      <c r="J61" s="116" t="s">
        <v>21</v>
      </c>
      <c r="K61" s="233"/>
      <c r="L61" s="234">
        <f xml:space="preserve"> INDEX( SplitScreenStrip!$13:$23, MATCH( $D61, SplitScreenStrip!$D$13:$D$23, 0 ), MATCH( L$7, SplitScreenStrip!$12:$12, 0 ) )</f>
        <v>12000</v>
      </c>
      <c r="M61" s="232">
        <f xml:space="preserve"> INDEX( SplitScreenStrip!$13:$23, MATCH( $D61, SplitScreenStrip!$D$13:$D$23, 0 ), MATCH( M$7, SplitScreenStrip!$12:$12, 0 ) )</f>
        <v>9600</v>
      </c>
      <c r="N61" s="232">
        <f xml:space="preserve"> INDEX( SplitScreenStrip!$13:$23, MATCH( $D61, SplitScreenStrip!$D$13:$D$23, 0 ), MATCH( N$7, SplitScreenStrip!$12:$12, 0 ) )</f>
        <v>7200</v>
      </c>
      <c r="O61" s="232">
        <f xml:space="preserve"> INDEX( SplitScreenStrip!$13:$23, MATCH( $D61, SplitScreenStrip!$D$13:$D$23, 0 ), MATCH( O$7, SplitScreenStrip!$12:$12, 0 ) )</f>
        <v>4800</v>
      </c>
      <c r="P61" s="232">
        <f xml:space="preserve"> INDEX( SplitScreenStrip!$13:$23, MATCH( $D61, SplitScreenStrip!$D$13:$D$23, 0 ), MATCH( P$7, SplitScreenStrip!$12:$12, 0 ) )</f>
        <v>2400</v>
      </c>
      <c r="Q61" s="232">
        <f xml:space="preserve"> INDEX( SplitScreenStrip!$13:$23, MATCH( $D61, SplitScreenStrip!$D$13:$D$23, 0 ), MATCH( Q$7, SplitScreenStrip!$12:$12, 0 ) )</f>
        <v>0</v>
      </c>
    </row>
    <row r="62" spans="1:17" s="449" customFormat="1" ht="26.4" x14ac:dyDescent="0.3">
      <c r="A62" s="448"/>
      <c r="B62" s="448"/>
      <c r="C62" s="448"/>
      <c r="D62" s="179"/>
      <c r="E62" s="179"/>
      <c r="F62" s="179"/>
      <c r="G62" s="179"/>
      <c r="H62" s="164" t="s">
        <v>368</v>
      </c>
      <c r="I62" s="225" t="s">
        <v>306</v>
      </c>
      <c r="J62" s="14" t="s">
        <v>21</v>
      </c>
      <c r="K62" s="450"/>
      <c r="L62" s="12">
        <f t="shared" ref="L62:Q62" si="13" xml:space="preserve"> L61 - K61</f>
        <v>12000</v>
      </c>
      <c r="M62" s="11">
        <f t="shared" si="13"/>
        <v>-2400</v>
      </c>
      <c r="N62" s="11">
        <f t="shared" si="13"/>
        <v>-2400</v>
      </c>
      <c r="O62" s="11">
        <f t="shared" si="13"/>
        <v>-2400</v>
      </c>
      <c r="P62" s="11">
        <f t="shared" si="13"/>
        <v>-2400</v>
      </c>
      <c r="Q62" s="11">
        <f t="shared" si="13"/>
        <v>-2400</v>
      </c>
    </row>
    <row r="63" spans="1:17" s="17" customFormat="1" ht="26.4" x14ac:dyDescent="0.3">
      <c r="A63" s="159"/>
      <c r="B63" s="159"/>
      <c r="C63" s="159"/>
      <c r="D63" s="20"/>
      <c r="E63" s="20"/>
      <c r="F63" s="224" t="s">
        <v>285</v>
      </c>
      <c r="G63" s="217"/>
      <c r="H63" s="168" t="s">
        <v>212</v>
      </c>
      <c r="I63" s="226" t="s">
        <v>321</v>
      </c>
      <c r="J63" s="19" t="s">
        <v>21</v>
      </c>
      <c r="L63" s="18">
        <f xml:space="preserve"> INDEX( SplitScreenStrip!$68:$71, MATCH( $F63, SplitScreenStrip!$F$68:$F$71, 0 ), MATCH( "–"&amp;L46, SplitScreenStrip!$12:$12, 0 ) )</f>
        <v>8000</v>
      </c>
      <c r="M63" s="17">
        <f xml:space="preserve"> INDEX( SplitScreenStrip!$68:$71, MATCH( $F63, SplitScreenStrip!$F$68:$F$71, 0 ), MATCH( "–"&amp;M46, SplitScreenStrip!$12:$12, 0 ) )</f>
        <v>-233.27500000000001</v>
      </c>
      <c r="N63" s="17">
        <f xml:space="preserve"> INDEX( SplitScreenStrip!$68:$71, MATCH( $F63, SplitScreenStrip!$F$68:$F$71, 0 ), MATCH( "–"&amp;N46, SplitScreenStrip!$12:$12, 0 ) )</f>
        <v>-419.3240349315069</v>
      </c>
      <c r="O63" s="17">
        <f xml:space="preserve"> INDEX( SplitScreenStrip!$68:$71, MATCH( $F63, SplitScreenStrip!$F$68:$F$71, 0 ), MATCH( "–"&amp;O46, SplitScreenStrip!$12:$12, 0 ) )</f>
        <v>-621.2483899136987</v>
      </c>
      <c r="P63" s="17">
        <f xml:space="preserve"> INDEX( SplitScreenStrip!$68:$71, MATCH( $F63, SplitScreenStrip!$F$68:$F$71, 0 ), MATCH( "–"&amp;P46, SplitScreenStrip!$12:$12, 0 ) )</f>
        <v>-844.37306771495628</v>
      </c>
      <c r="Q63" s="17">
        <f xml:space="preserve"> INDEX( SplitScreenStrip!$68:$71, MATCH( $F63, SplitScreenStrip!$F$68:$F$71, 0 ), MATCH( "–"&amp;Q46, SplitScreenStrip!$12:$12, 0 ) )</f>
        <v>-21927.249729206156</v>
      </c>
    </row>
    <row r="64" spans="1:17" s="120" customFormat="1" x14ac:dyDescent="0.3">
      <c r="A64" s="183"/>
      <c r="B64" s="183"/>
      <c r="C64" s="183"/>
      <c r="E64" s="184"/>
      <c r="H64" s="227" t="s">
        <v>310</v>
      </c>
      <c r="I64" s="120" t="s">
        <v>605</v>
      </c>
      <c r="J64" s="185" t="s">
        <v>21</v>
      </c>
      <c r="L64" s="186">
        <f t="shared" ref="L64:Q64" si="14" xml:space="preserve"> SUM( L62:L63 )</f>
        <v>20000</v>
      </c>
      <c r="M64" s="120">
        <f t="shared" si="14"/>
        <v>-2633.2750000000001</v>
      </c>
      <c r="N64" s="120">
        <f t="shared" si="14"/>
        <v>-2819.324034931507</v>
      </c>
      <c r="O64" s="120">
        <f t="shared" si="14"/>
        <v>-3021.2483899136987</v>
      </c>
      <c r="P64" s="120">
        <f t="shared" si="14"/>
        <v>-3244.3730677149561</v>
      </c>
      <c r="Q64" s="120">
        <f t="shared" si="14"/>
        <v>-24327.249729206156</v>
      </c>
    </row>
    <row r="65" spans="1:17" s="21" customFormat="1" ht="4.2" x14ac:dyDescent="0.3">
      <c r="A65" s="24"/>
      <c r="B65" s="24"/>
      <c r="C65" s="24"/>
      <c r="E65" s="24"/>
      <c r="F65" s="24"/>
      <c r="G65" s="24"/>
      <c r="H65" s="24"/>
      <c r="I65" s="25"/>
      <c r="J65" s="24"/>
      <c r="K65" s="23"/>
      <c r="L65" s="22"/>
    </row>
    <row r="66" spans="1:17" s="441" customFormat="1" ht="14.4" x14ac:dyDescent="0.3">
      <c r="A66" s="440"/>
      <c r="B66" s="440"/>
      <c r="C66" s="440"/>
      <c r="E66" s="442"/>
      <c r="H66" s="443" t="s">
        <v>311</v>
      </c>
      <c r="I66" s="441" t="s">
        <v>331</v>
      </c>
      <c r="J66" s="443" t="s">
        <v>21</v>
      </c>
      <c r="L66" s="444">
        <f t="shared" ref="L66:Q66" si="15" xml:space="preserve"> L56+L59+L64</f>
        <v>-3750</v>
      </c>
      <c r="M66" s="441">
        <f t="shared" si="15"/>
        <v>3236.8671232876673</v>
      </c>
      <c r="N66" s="441">
        <f t="shared" si="15"/>
        <v>2972.6728520547999</v>
      </c>
      <c r="O66" s="441">
        <f t="shared" si="15"/>
        <v>3749.9079432164399</v>
      </c>
      <c r="P66" s="441">
        <f t="shared" si="15"/>
        <v>4608.7097366132402</v>
      </c>
      <c r="Q66" s="441">
        <f t="shared" si="15"/>
        <v>-10818.157655172141</v>
      </c>
    </row>
  </sheetData>
  <sheetProtection sheet="1" objects="1" scenarios="1"/>
  <phoneticPr fontId="55" type="noConversion"/>
  <pageMargins left="0.7" right="0.7" top="0.75" bottom="0.75" header="0.3" footer="0.3"/>
  <pageSetup paperSize="9" orientation="portrait" r:id="rId1"/>
  <ignoredErrors>
    <ignoredError sqref="L49:Q58 L37:Q41 L29:Q2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13</vt:i4>
      </vt:variant>
    </vt:vector>
  </HeadingPairs>
  <TitlesOfParts>
    <vt:vector size="13" baseType="lpstr">
      <vt:lpstr>info</vt:lpstr>
      <vt:lpstr>Description</vt:lpstr>
      <vt:lpstr>Legend</vt:lpstr>
      <vt:lpstr>Assumptions</vt:lpstr>
      <vt:lpstr>DataProcess</vt:lpstr>
      <vt:lpstr>SplitScreenStrip</vt:lpstr>
      <vt:lpstr>SinglePeriod</vt:lpstr>
      <vt:lpstr>TransMatrix</vt:lpstr>
      <vt:lpstr>ConventionalFinStat</vt:lpstr>
      <vt:lpstr>ValueCreation</vt:lpstr>
      <vt:lpstr>Graphs</vt:lpstr>
      <vt:lpstr>AccDiagnostics</vt:lpstr>
      <vt:lpstr>FinDiagnostics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 Baschieri</dc:creator>
  <cp:lastModifiedBy>utente</cp:lastModifiedBy>
  <cp:lastPrinted>2022-02-02T22:50:36Z</cp:lastPrinted>
  <dcterms:created xsi:type="dcterms:W3CDTF">2021-01-09T19:22:21Z</dcterms:created>
  <dcterms:modified xsi:type="dcterms:W3CDTF">2025-11-02T15:10:49Z</dcterms:modified>
</cp:coreProperties>
</file>