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ropbox\Carlo Alberto\didattica\Principi e modelli per le decisioni manageriali\Esercizi Excel\"/>
    </mc:Choice>
  </mc:AlternateContent>
  <xr:revisionPtr revIDLastSave="0" documentId="13_ncr:1_{651AA2CF-7CE1-4B91-8297-C76E10577876}" xr6:coauthVersionLast="47" xr6:coauthVersionMax="47" xr10:uidLastSave="{00000000-0000-0000-0000-000000000000}"/>
  <bookViews>
    <workbookView xWindow="28680" yWindow="-120" windowWidth="29040" windowHeight="15840" activeTab="1" xr2:uid="{E2FE51B5-4833-4920-92E8-3E7D20699623}"/>
  </bookViews>
  <sheets>
    <sheet name="Modello contabile" sheetId="1" r:id="rId1"/>
    <sheet name="Modello contabile e finanziari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2" l="1"/>
  <c r="H51" i="2" s="1"/>
  <c r="H43" i="2"/>
  <c r="H45" i="2" s="1"/>
  <c r="I33" i="2"/>
  <c r="I40" i="2" s="1"/>
  <c r="I44" i="2" s="1"/>
  <c r="I51" i="2" s="1"/>
  <c r="L32" i="2"/>
  <c r="K32" i="2"/>
  <c r="J32" i="2"/>
  <c r="J55" i="2" s="1"/>
  <c r="I32" i="2"/>
  <c r="I55" i="2" s="1"/>
  <c r="L27" i="2"/>
  <c r="K27" i="2"/>
  <c r="J27" i="2"/>
  <c r="I27" i="2"/>
  <c r="H27" i="2"/>
  <c r="V25" i="2"/>
  <c r="L23" i="2"/>
  <c r="K23" i="2"/>
  <c r="J23" i="2"/>
  <c r="I23" i="2"/>
  <c r="H23" i="2"/>
  <c r="H55" i="2" s="1"/>
  <c r="L22" i="2"/>
  <c r="V22" i="2" s="1"/>
  <c r="K22" i="2"/>
  <c r="U22" i="2" s="1"/>
  <c r="J22" i="2"/>
  <c r="T22" i="2" s="1"/>
  <c r="I22" i="2"/>
  <c r="S22" i="2" s="1"/>
  <c r="H22" i="2"/>
  <c r="R22" i="2" s="1"/>
  <c r="K11" i="2"/>
  <c r="J11" i="2"/>
  <c r="J10" i="2"/>
  <c r="J9" i="2"/>
  <c r="K9" i="2" s="1"/>
  <c r="J8" i="2"/>
  <c r="J33" i="2" s="1"/>
  <c r="J40" i="2" s="1"/>
  <c r="J44" i="2" s="1"/>
  <c r="J51" i="2" s="1"/>
  <c r="L7" i="2"/>
  <c r="K7" i="2"/>
  <c r="J7" i="2"/>
  <c r="H52" i="2" l="1"/>
  <c r="H46" i="2"/>
  <c r="H53" i="2" s="1"/>
  <c r="L9" i="2"/>
  <c r="H50" i="2"/>
  <c r="K8" i="2"/>
  <c r="K10" i="2"/>
  <c r="H47" i="2" l="1"/>
  <c r="L10" i="2"/>
  <c r="K33" i="2"/>
  <c r="L8" i="2"/>
  <c r="L33" i="2" s="1"/>
  <c r="K55" i="2"/>
  <c r="H54" i="2" l="1"/>
  <c r="H56" i="2" s="1"/>
  <c r="H24" i="2"/>
  <c r="L55" i="2"/>
  <c r="U30" i="2" s="1"/>
  <c r="T30" i="2" s="1"/>
  <c r="S30" i="2" s="1"/>
  <c r="R30" i="2" s="1"/>
  <c r="L40" i="2"/>
  <c r="L44" i="2" s="1"/>
  <c r="L51" i="2" s="1"/>
  <c r="K40" i="2"/>
  <c r="K44" i="2" s="1"/>
  <c r="K51" i="2" s="1"/>
  <c r="U23" i="2" l="1"/>
  <c r="I34" i="2"/>
  <c r="H25" i="2"/>
  <c r="H29" i="2" s="1"/>
  <c r="H28" i="2" s="1"/>
  <c r="S27" i="2" l="1"/>
  <c r="S28" i="2" s="1"/>
  <c r="I35" i="2"/>
  <c r="T23" i="2"/>
  <c r="S23" i="2" l="1"/>
  <c r="I36" i="2"/>
  <c r="I39" i="2" s="1"/>
  <c r="I43" i="2" s="1"/>
  <c r="I45" i="2" l="1"/>
  <c r="I50" i="2"/>
  <c r="I37" i="2"/>
  <c r="R23" i="2"/>
  <c r="I47" i="2" l="1"/>
  <c r="I46" i="2"/>
  <c r="I53" i="2" s="1"/>
  <c r="I52" i="2"/>
  <c r="I54" i="2" l="1"/>
  <c r="I56" i="2" s="1"/>
  <c r="I24" i="2"/>
  <c r="J34" i="2" l="1"/>
  <c r="I25" i="2"/>
  <c r="I29" i="2" s="1"/>
  <c r="I28" i="2" s="1"/>
  <c r="T27" i="2" l="1"/>
  <c r="T28" i="2" s="1"/>
  <c r="J35" i="2"/>
  <c r="J36" i="2" l="1"/>
  <c r="J39" i="2" s="1"/>
  <c r="J43" i="2" s="1"/>
  <c r="J45" i="2" l="1"/>
  <c r="J50" i="2"/>
  <c r="J37" i="2"/>
  <c r="J46" i="2" l="1"/>
  <c r="J53" i="2" s="1"/>
  <c r="J52" i="2"/>
  <c r="J47" i="2" l="1"/>
  <c r="J54" i="2" l="1"/>
  <c r="J56" i="2" s="1"/>
  <c r="J24" i="2"/>
  <c r="J25" i="2" l="1"/>
  <c r="J29" i="2" s="1"/>
  <c r="J28" i="2" s="1"/>
  <c r="K34" i="2"/>
  <c r="U27" i="2" l="1"/>
  <c r="U28" i="2" s="1"/>
  <c r="K35" i="2"/>
  <c r="K36" i="2" l="1"/>
  <c r="K39" i="2" s="1"/>
  <c r="K43" i="2" s="1"/>
  <c r="K50" i="2" l="1"/>
  <c r="K45" i="2"/>
  <c r="K37" i="2"/>
  <c r="K52" i="2" l="1"/>
  <c r="K46" i="2"/>
  <c r="K53" i="2" s="1"/>
  <c r="K47" i="2" l="1"/>
  <c r="K54" i="2" l="1"/>
  <c r="K56" i="2" s="1"/>
  <c r="K24" i="2"/>
  <c r="K25" i="2" l="1"/>
  <c r="K29" i="2" s="1"/>
  <c r="K28" i="2" s="1"/>
  <c r="L34" i="2"/>
  <c r="V27" i="2" l="1"/>
  <c r="V28" i="2" s="1"/>
  <c r="L35" i="2"/>
  <c r="L37" i="2" l="1"/>
  <c r="L48" i="2" s="1"/>
  <c r="L36" i="2"/>
  <c r="L39" i="2" s="1"/>
  <c r="L43" i="2" s="1"/>
  <c r="L50" i="2" l="1"/>
  <c r="L45" i="2"/>
  <c r="L46" i="2" l="1"/>
  <c r="L53" i="2" s="1"/>
  <c r="L52" i="2"/>
  <c r="L47" i="2" l="1"/>
  <c r="L54" i="2" l="1"/>
  <c r="L24" i="2"/>
  <c r="L25" i="2" s="1"/>
  <c r="L29" i="2" s="1"/>
  <c r="L28" i="2" s="1"/>
  <c r="U24" i="2" l="1"/>
  <c r="L56" i="2"/>
  <c r="T24" i="2" l="1"/>
  <c r="U25" i="2"/>
  <c r="V26" i="2"/>
  <c r="U29" i="2" s="1"/>
  <c r="T29" i="2" l="1"/>
  <c r="S24" i="2"/>
  <c r="T25" i="2"/>
  <c r="U26" i="2"/>
  <c r="R24" i="2" l="1"/>
  <c r="R25" i="2" s="1"/>
  <c r="S25" i="2"/>
  <c r="S26" i="2" l="1"/>
  <c r="T26" i="2"/>
  <c r="S29" i="2" s="1"/>
  <c r="G39" i="1"/>
  <c r="G38" i="1"/>
  <c r="G40" i="1" s="1"/>
  <c r="H37" i="1"/>
  <c r="H28" i="1"/>
  <c r="I28" i="1"/>
  <c r="J28" i="1"/>
  <c r="K28" i="1"/>
  <c r="G28" i="1"/>
  <c r="H38" i="1" s="1"/>
  <c r="H24" i="1"/>
  <c r="I24" i="1"/>
  <c r="J24" i="1"/>
  <c r="K24" i="1"/>
  <c r="G24" i="1"/>
  <c r="R29" i="2" l="1"/>
  <c r="R31" i="2" s="1"/>
  <c r="R32" i="2" s="1"/>
  <c r="R33" i="2" s="1"/>
  <c r="R34" i="2" s="1"/>
  <c r="H49" i="1"/>
  <c r="H56" i="1" s="1"/>
  <c r="G41" i="1"/>
  <c r="G45" i="1" s="1"/>
  <c r="G47" i="1" s="1"/>
  <c r="G55" i="1" s="1"/>
  <c r="G57" i="1" s="1"/>
  <c r="G59" i="1" s="1"/>
  <c r="G61" i="1" s="1"/>
  <c r="G49" i="1"/>
  <c r="G56" i="1" s="1"/>
  <c r="I14" i="1"/>
  <c r="I11" i="1"/>
  <c r="I10" i="1"/>
  <c r="J10" i="1" s="1"/>
  <c r="K10" i="1" s="1"/>
  <c r="I9" i="1"/>
  <c r="I8" i="1"/>
  <c r="I38" i="1" s="1"/>
  <c r="I7" i="1"/>
  <c r="J7" i="1" s="1"/>
  <c r="K7" i="1" s="1"/>
  <c r="G62" i="1" l="1"/>
  <c r="G25" i="1"/>
  <c r="H39" i="1" s="1"/>
  <c r="H40" i="1" s="1"/>
  <c r="H41" i="1" s="1"/>
  <c r="H45" i="1" s="1"/>
  <c r="H47" i="1" s="1"/>
  <c r="H55" i="1" s="1"/>
  <c r="H57" i="1" s="1"/>
  <c r="H59" i="1" s="1"/>
  <c r="H61" i="1" s="1"/>
  <c r="G42" i="1"/>
  <c r="J11" i="1"/>
  <c r="J8" i="1"/>
  <c r="J38" i="1" s="1"/>
  <c r="I49" i="1"/>
  <c r="I56" i="1" s="1"/>
  <c r="J9" i="1"/>
  <c r="I37" i="1"/>
  <c r="G26" i="1" l="1"/>
  <c r="G30" i="1" s="1"/>
  <c r="G29" i="1" s="1"/>
  <c r="H62" i="1"/>
  <c r="H25" i="1"/>
  <c r="H42" i="1"/>
  <c r="K9" i="1"/>
  <c r="K8" i="1"/>
  <c r="J49" i="1"/>
  <c r="J56" i="1" s="1"/>
  <c r="K37" i="1"/>
  <c r="J37" i="1"/>
  <c r="K38" i="1" l="1"/>
  <c r="K49" i="1" s="1"/>
  <c r="K56" i="1" s="1"/>
  <c r="H26" i="1"/>
  <c r="H30" i="1" s="1"/>
  <c r="H29" i="1" s="1"/>
  <c r="I39" i="1"/>
  <c r="I40" i="1" s="1"/>
  <c r="I41" i="1" l="1"/>
  <c r="I45" i="1" s="1"/>
  <c r="I47" i="1" s="1"/>
  <c r="I55" i="1" s="1"/>
  <c r="I57" i="1" s="1"/>
  <c r="I59" i="1" s="1"/>
  <c r="I61" i="1" s="1"/>
  <c r="I62" i="1" s="1"/>
  <c r="I25" i="1" l="1"/>
  <c r="I42" i="1"/>
  <c r="I26" i="1" l="1"/>
  <c r="I30" i="1" s="1"/>
  <c r="I29" i="1" s="1"/>
  <c r="J39" i="1"/>
  <c r="J40" i="1" l="1"/>
  <c r="J41" i="1" s="1"/>
  <c r="J45" i="1" s="1"/>
  <c r="J47" i="1" s="1"/>
  <c r="J55" i="1" s="1"/>
  <c r="J57" i="1" s="1"/>
  <c r="J59" i="1" s="1"/>
  <c r="J61" i="1" s="1"/>
  <c r="J62" i="1" l="1"/>
  <c r="J25" i="1"/>
  <c r="J26" i="1" s="1"/>
  <c r="J30" i="1" s="1"/>
  <c r="J29" i="1" s="1"/>
  <c r="J42" i="1"/>
  <c r="K39" i="1"/>
  <c r="K40" i="1" l="1"/>
  <c r="K41" i="1" s="1"/>
  <c r="K64" i="1"/>
  <c r="K45" i="1" l="1"/>
  <c r="K47" i="1" s="1"/>
  <c r="K55" i="1" s="1"/>
  <c r="K57" i="1" s="1"/>
  <c r="K63" i="1" s="1"/>
  <c r="K42" i="1"/>
  <c r="K59" i="1" s="1"/>
  <c r="K61" i="1" l="1"/>
  <c r="K62" i="1" s="1"/>
  <c r="K25" i="1" l="1"/>
  <c r="K26" i="1" s="1"/>
  <c r="K30" i="1" s="1"/>
  <c r="K29" i="1" s="1"/>
</calcChain>
</file>

<file path=xl/sharedStrings.xml><?xml version="1.0" encoding="utf-8"?>
<sst xmlns="http://schemas.openxmlformats.org/spreadsheetml/2006/main" count="161" uniqueCount="123">
  <si>
    <t>EBIT</t>
  </si>
  <si>
    <r>
      <t>k</t>
    </r>
    <r>
      <rPr>
        <i/>
        <vertAlign val="superscript"/>
        <sz val="11"/>
        <color theme="1"/>
        <rFont val="Calibri"/>
        <family val="2"/>
        <scheme val="minor"/>
      </rPr>
      <t>uo</t>
    </r>
  </si>
  <si>
    <r>
      <t>i</t>
    </r>
    <r>
      <rPr>
        <i/>
        <vertAlign val="superscript"/>
        <sz val="11"/>
        <color theme="1"/>
        <rFont val="Calibri"/>
        <family val="2"/>
        <scheme val="minor"/>
      </rPr>
      <t xml:space="preserve">d </t>
    </r>
    <r>
      <rPr>
        <i/>
        <sz val="11"/>
        <color theme="1"/>
        <rFont val="Calibri"/>
        <family val="2"/>
        <scheme val="minor"/>
      </rPr>
      <t>= r</t>
    </r>
    <r>
      <rPr>
        <i/>
        <vertAlign val="superscript"/>
        <sz val="11"/>
        <color theme="1"/>
        <rFont val="Calibri"/>
        <family val="2"/>
        <scheme val="minor"/>
      </rPr>
      <t>d</t>
    </r>
  </si>
  <si>
    <r>
      <t>i</t>
    </r>
    <r>
      <rPr>
        <i/>
        <vertAlign val="superscript"/>
        <sz val="11"/>
        <color theme="1"/>
        <rFont val="Calibri"/>
        <family val="2"/>
        <scheme val="minor"/>
      </rPr>
      <t xml:space="preserve">l </t>
    </r>
    <r>
      <rPr>
        <i/>
        <sz val="11"/>
        <color theme="1"/>
        <rFont val="Calibri"/>
        <family val="2"/>
        <scheme val="minor"/>
      </rPr>
      <t>= r</t>
    </r>
    <r>
      <rPr>
        <i/>
        <vertAlign val="superscript"/>
        <sz val="11"/>
        <color theme="1"/>
        <rFont val="Calibri"/>
        <family val="2"/>
        <scheme val="minor"/>
      </rPr>
      <t>l</t>
    </r>
  </si>
  <si>
    <t>τ</t>
  </si>
  <si>
    <t>Attivo operativo</t>
  </si>
  <si>
    <t>Debito</t>
  </si>
  <si>
    <t>Anno</t>
  </si>
  <si>
    <t>Stato Patrimoniale</t>
  </si>
  <si>
    <t>CAPITALE</t>
  </si>
  <si>
    <t>+</t>
  </si>
  <si>
    <r>
      <t>C</t>
    </r>
    <r>
      <rPr>
        <i/>
        <vertAlign val="superscript"/>
        <sz val="11"/>
        <rFont val="Calibri"/>
        <family val="2"/>
        <scheme val="minor"/>
      </rPr>
      <t>o</t>
    </r>
  </si>
  <si>
    <t>+ Attivo operativo</t>
  </si>
  <si>
    <r>
      <t>C</t>
    </r>
    <r>
      <rPr>
        <i/>
        <vertAlign val="superscript"/>
        <sz val="11"/>
        <rFont val="Calibri"/>
        <family val="2"/>
        <scheme val="minor"/>
      </rPr>
      <t>l</t>
    </r>
  </si>
  <si>
    <t>+ Attivo liquido</t>
  </si>
  <si>
    <t>=</t>
  </si>
  <si>
    <r>
      <t>C</t>
    </r>
    <r>
      <rPr>
        <vertAlign val="superscript"/>
        <sz val="11"/>
        <rFont val="Calibri"/>
        <family val="2"/>
        <scheme val="minor"/>
      </rPr>
      <t>inv</t>
    </r>
  </si>
  <si>
    <t>INVESTIMENTI</t>
  </si>
  <si>
    <r>
      <t>C</t>
    </r>
    <r>
      <rPr>
        <i/>
        <vertAlign val="superscript"/>
        <sz val="11"/>
        <rFont val="Calibri"/>
        <family val="2"/>
        <scheme val="minor"/>
      </rPr>
      <t>d</t>
    </r>
  </si>
  <si>
    <t>+ Debito</t>
  </si>
  <si>
    <r>
      <t>C</t>
    </r>
    <r>
      <rPr>
        <i/>
        <vertAlign val="superscript"/>
        <sz val="11"/>
        <rFont val="Calibri"/>
        <family val="2"/>
        <scheme val="minor"/>
      </rPr>
      <t>e</t>
    </r>
  </si>
  <si>
    <t>+ Equity</t>
  </si>
  <si>
    <r>
      <t>C</t>
    </r>
    <r>
      <rPr>
        <vertAlign val="superscript"/>
        <sz val="11"/>
        <rFont val="Calibri"/>
        <family val="2"/>
        <scheme val="minor"/>
      </rPr>
      <t>fin</t>
    </r>
  </si>
  <si>
    <t>FINANZIAMENTI</t>
  </si>
  <si>
    <t>Conto Economico</t>
  </si>
  <si>
    <t>REDDITO</t>
  </si>
  <si>
    <t>-</t>
  </si>
  <si>
    <r>
      <t>I</t>
    </r>
    <r>
      <rPr>
        <i/>
        <vertAlign val="superscript"/>
        <sz val="11"/>
        <rFont val="Calibri"/>
        <family val="2"/>
        <scheme val="minor"/>
      </rPr>
      <t>l</t>
    </r>
  </si>
  <si>
    <t>+ Interessi attivi</t>
  </si>
  <si>
    <r>
      <t>I</t>
    </r>
    <r>
      <rPr>
        <i/>
        <vertAlign val="superscript"/>
        <sz val="11"/>
        <rFont val="Calibri"/>
        <family val="2"/>
        <scheme val="minor"/>
      </rPr>
      <t>d</t>
    </r>
  </si>
  <si>
    <t>- Interessi passivi</t>
  </si>
  <si>
    <t>Utile lordo</t>
  </si>
  <si>
    <t>T</t>
  </si>
  <si>
    <t>- Imposte</t>
  </si>
  <si>
    <r>
      <t>I</t>
    </r>
    <r>
      <rPr>
        <i/>
        <vertAlign val="superscript"/>
        <sz val="11"/>
        <rFont val="Calibri"/>
        <family val="2"/>
        <scheme val="minor"/>
      </rPr>
      <t>e</t>
    </r>
  </si>
  <si>
    <t>Utile netto</t>
  </si>
  <si>
    <t>Imposte</t>
  </si>
  <si>
    <r>
      <t>I</t>
    </r>
    <r>
      <rPr>
        <i/>
        <vertAlign val="superscript"/>
        <sz val="11"/>
        <rFont val="Calibri"/>
        <family val="2"/>
        <scheme val="minor"/>
      </rPr>
      <t>o</t>
    </r>
  </si>
  <si>
    <t>Interessi passivi</t>
  </si>
  <si>
    <t>Rendiconto dei flussi di cassa</t>
  </si>
  <si>
    <t>FLUSSO DI CASSA</t>
  </si>
  <si>
    <r>
      <t>F</t>
    </r>
    <r>
      <rPr>
        <i/>
        <vertAlign val="superscript"/>
        <sz val="11"/>
        <rFont val="Calibri"/>
        <family val="2"/>
        <scheme val="minor"/>
      </rPr>
      <t>o</t>
    </r>
  </si>
  <si>
    <t>+ CFO</t>
  </si>
  <si>
    <r>
      <t>F</t>
    </r>
    <r>
      <rPr>
        <i/>
        <vertAlign val="superscript"/>
        <sz val="11"/>
        <rFont val="Calibri"/>
        <family val="2"/>
        <scheme val="minor"/>
      </rPr>
      <t>d</t>
    </r>
  </si>
  <si>
    <t>- CFD</t>
  </si>
  <si>
    <r>
      <t>F</t>
    </r>
    <r>
      <rPr>
        <i/>
        <vertAlign val="superscript"/>
        <sz val="11"/>
        <rFont val="Calibri"/>
        <family val="2"/>
        <scheme val="minor"/>
      </rPr>
      <t>pd</t>
    </r>
  </si>
  <si>
    <t>FCFE</t>
  </si>
  <si>
    <r>
      <t>F</t>
    </r>
    <r>
      <rPr>
        <i/>
        <vertAlign val="superscript"/>
        <sz val="11"/>
        <color rgb="FFFF0000"/>
        <rFont val="Calibri"/>
        <family val="2"/>
        <scheme val="minor"/>
      </rPr>
      <t>e</t>
    </r>
  </si>
  <si>
    <t>CFE</t>
  </si>
  <si>
    <t>RC o FI</t>
  </si>
  <si>
    <r>
      <t>F</t>
    </r>
    <r>
      <rPr>
        <i/>
        <vertAlign val="superscript"/>
        <sz val="11"/>
        <color theme="1"/>
        <rFont val="Calibri"/>
        <family val="2"/>
        <scheme val="minor"/>
      </rPr>
      <t>pd</t>
    </r>
    <r>
      <rPr>
        <i/>
        <vertAlign val="subscript"/>
        <sz val="11"/>
        <color theme="1"/>
        <rFont val="Calibri"/>
        <family val="2"/>
        <scheme val="minor"/>
      </rPr>
      <t>5</t>
    </r>
    <r>
      <rPr>
        <i/>
        <sz val="11"/>
        <color theme="1"/>
        <rFont val="Calibri"/>
        <family val="2"/>
        <scheme val="minor"/>
      </rPr>
      <t xml:space="preserve"> + C</t>
    </r>
    <r>
      <rPr>
        <i/>
        <vertAlign val="superscript"/>
        <sz val="11"/>
        <color theme="1"/>
        <rFont val="Calibri"/>
        <family val="2"/>
        <scheme val="minor"/>
      </rPr>
      <t>l</t>
    </r>
    <r>
      <rPr>
        <i/>
        <vertAlign val="subscript"/>
        <sz val="11"/>
        <color theme="1"/>
        <rFont val="Calibri"/>
        <family val="2"/>
        <scheme val="minor"/>
      </rPr>
      <t>4</t>
    </r>
    <r>
      <rPr>
        <i/>
        <sz val="11"/>
        <color theme="1"/>
        <rFont val="Calibri"/>
        <family val="2"/>
        <scheme val="minor"/>
      </rPr>
      <t xml:space="preserve"> + I</t>
    </r>
    <r>
      <rPr>
        <i/>
        <vertAlign val="superscript"/>
        <sz val="11"/>
        <color theme="1"/>
        <rFont val="Calibri"/>
        <family val="2"/>
        <scheme val="minor"/>
      </rPr>
      <t>l</t>
    </r>
    <r>
      <rPr>
        <i/>
        <vertAlign val="subscript"/>
        <sz val="11"/>
        <color theme="1"/>
        <rFont val="Calibri"/>
        <family val="2"/>
        <scheme val="minor"/>
      </rPr>
      <t>5</t>
    </r>
  </si>
  <si>
    <r>
      <t>C</t>
    </r>
    <r>
      <rPr>
        <i/>
        <vertAlign val="superscript"/>
        <sz val="11"/>
        <color theme="1"/>
        <rFont val="Calibri"/>
        <family val="2"/>
        <scheme val="minor"/>
      </rPr>
      <t>l</t>
    </r>
    <r>
      <rPr>
        <i/>
        <vertAlign val="subscript"/>
        <sz val="11"/>
        <color theme="1"/>
        <rFont val="Calibri"/>
        <family val="2"/>
        <scheme val="minor"/>
      </rPr>
      <t>4</t>
    </r>
    <r>
      <rPr>
        <i/>
        <sz val="11"/>
        <color theme="1"/>
        <rFont val="Calibri"/>
        <family val="2"/>
        <scheme val="minor"/>
      </rPr>
      <t xml:space="preserve"> + I</t>
    </r>
    <r>
      <rPr>
        <i/>
        <vertAlign val="superscript"/>
        <sz val="11"/>
        <color theme="1"/>
        <rFont val="Calibri"/>
        <family val="2"/>
        <scheme val="minor"/>
      </rPr>
      <t>l</t>
    </r>
    <r>
      <rPr>
        <i/>
        <vertAlign val="subscript"/>
        <sz val="11"/>
        <color theme="1"/>
        <rFont val="Calibri"/>
        <family val="2"/>
        <scheme val="minor"/>
      </rPr>
      <t>5</t>
    </r>
  </si>
  <si>
    <t>Reddito operativo levered</t>
  </si>
  <si>
    <r>
      <t>F</t>
    </r>
    <r>
      <rPr>
        <i/>
        <vertAlign val="superscript"/>
        <sz val="11"/>
        <rFont val="Calibri"/>
        <family val="2"/>
        <scheme val="minor"/>
      </rPr>
      <t>l</t>
    </r>
  </si>
  <si>
    <r>
      <t>r</t>
    </r>
    <r>
      <rPr>
        <vertAlign val="superscript"/>
        <sz val="11"/>
        <color theme="1"/>
        <rFont val="Calibri"/>
        <family val="2"/>
      </rPr>
      <t>τ</t>
    </r>
    <r>
      <rPr>
        <i/>
        <vertAlign val="superscript"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= r</t>
    </r>
    <r>
      <rPr>
        <i/>
        <vertAlign val="superscript"/>
        <sz val="11"/>
        <color theme="1"/>
        <rFont val="Calibri"/>
        <family val="2"/>
        <scheme val="minor"/>
      </rPr>
      <t>D</t>
    </r>
  </si>
  <si>
    <t>ESEMPIO 5.9</t>
  </si>
  <si>
    <r>
      <t>Check di F</t>
    </r>
    <r>
      <rPr>
        <i/>
        <vertAlign val="superscript"/>
        <sz val="11"/>
        <color theme="1"/>
        <rFont val="Calibri"/>
        <family val="2"/>
        <scheme val="minor"/>
      </rPr>
      <t>e</t>
    </r>
    <r>
      <rPr>
        <i/>
        <vertAlign val="subscript"/>
        <sz val="11"/>
        <color theme="1"/>
        <rFont val="Calibri"/>
        <family val="2"/>
        <scheme val="minor"/>
      </rPr>
      <t>5</t>
    </r>
  </si>
  <si>
    <r>
      <t>Check di F</t>
    </r>
    <r>
      <rPr>
        <i/>
        <vertAlign val="superscript"/>
        <sz val="11"/>
        <color theme="1"/>
        <rFont val="Calibri"/>
        <family val="2"/>
        <scheme val="minor"/>
      </rPr>
      <t>l</t>
    </r>
    <r>
      <rPr>
        <i/>
        <vertAlign val="subscript"/>
        <sz val="11"/>
        <color theme="1"/>
        <rFont val="Calibri"/>
        <family val="2"/>
        <scheme val="minor"/>
      </rPr>
      <t>5</t>
    </r>
  </si>
  <si>
    <t>payout ratio (su FCFE)</t>
  </si>
  <si>
    <t>VALUTAZIONE E DECISIONE</t>
  </si>
  <si>
    <t>C^o</t>
  </si>
  <si>
    <t>Valore debito lordo</t>
  </si>
  <si>
    <t>V^d</t>
  </si>
  <si>
    <t>Attivo liquido</t>
  </si>
  <si>
    <t>C^l</t>
  </si>
  <si>
    <t>Valore liquidità</t>
  </si>
  <si>
    <t>V^l</t>
  </si>
  <si>
    <t>Investimenti</t>
  </si>
  <si>
    <t>C^inv</t>
  </si>
  <si>
    <t>Valore debito netto</t>
  </si>
  <si>
    <t>V^D</t>
  </si>
  <si>
    <t>r^D=r^tau</t>
  </si>
  <si>
    <t>C^d</t>
  </si>
  <si>
    <t>interesse netto</t>
  </si>
  <si>
    <t>I^D</t>
  </si>
  <si>
    <t>Equity</t>
  </si>
  <si>
    <t>C^e</t>
  </si>
  <si>
    <t>scudo fiscale</t>
  </si>
  <si>
    <t>τ* I^D</t>
  </si>
  <si>
    <t>Finanziamenti</t>
  </si>
  <si>
    <t>C^fin</t>
  </si>
  <si>
    <t>Valore scudo fiscale</t>
  </si>
  <si>
    <r>
      <t>V^</t>
    </r>
    <r>
      <rPr>
        <sz val="11"/>
        <color theme="1"/>
        <rFont val="Calibri"/>
        <family val="2"/>
      </rPr>
      <t>τ</t>
    </r>
  </si>
  <si>
    <t>Valore unlevered</t>
  </si>
  <si>
    <t>V^uo</t>
  </si>
  <si>
    <t>V^o</t>
  </si>
  <si>
    <t>VAN^o</t>
  </si>
  <si>
    <t xml:space="preserve"> - Oneri finanziari</t>
  </si>
  <si>
    <t xml:space="preserve"> - I^d</t>
  </si>
  <si>
    <t>VAN ^e</t>
  </si>
  <si>
    <t>+ Proventi finanziari</t>
  </si>
  <si>
    <t xml:space="preserve"> + I^l</t>
  </si>
  <si>
    <t>= Utile lordo</t>
  </si>
  <si>
    <t xml:space="preserve"> - T</t>
  </si>
  <si>
    <t>= Utile netto</t>
  </si>
  <si>
    <t xml:space="preserve"> = I^e</t>
  </si>
  <si>
    <t>Reddito operativo (levered)</t>
  </si>
  <si>
    <t>I^o</t>
  </si>
  <si>
    <t>Oneri finanziari</t>
  </si>
  <si>
    <t>I^d</t>
  </si>
  <si>
    <t>Rendiconto flussi di cassa</t>
  </si>
  <si>
    <t>CCF/CFO</t>
  </si>
  <si>
    <t>F^o</t>
  </si>
  <si>
    <t xml:space="preserve"> - CFD</t>
  </si>
  <si>
    <t>- F^d</t>
  </si>
  <si>
    <t xml:space="preserve"> = FCFE</t>
  </si>
  <si>
    <t>= F^pd</t>
  </si>
  <si>
    <t xml:space="preserve"> - CFE</t>
  </si>
  <si>
    <t xml:space="preserve"> - F^e</t>
  </si>
  <si>
    <t>= CFL</t>
  </si>
  <si>
    <t>= - F^l</t>
  </si>
  <si>
    <t>check CFE</t>
  </si>
  <si>
    <t>Flussi di cassa (riepilogo)</t>
  </si>
  <si>
    <t>CFD</t>
  </si>
  <si>
    <t>F^d</t>
  </si>
  <si>
    <t>F^pd</t>
  </si>
  <si>
    <t>F^e</t>
  </si>
  <si>
    <t>CFL</t>
  </si>
  <si>
    <t>F^l</t>
  </si>
  <si>
    <t>FCF</t>
  </si>
  <si>
    <t>F^uo</t>
  </si>
  <si>
    <t>CFD netto</t>
  </si>
  <si>
    <t>F^D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</si>
</sst>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$-409]* #,##0.00_ ;_-[$$-409]* \-#,##0.00\ ;_-[$$-409]* &quot;-&quot;??_ ;_-@_ "/>
    <numFmt numFmtId="165" formatCode="#,##0.00_ ;\-#,##0.00\ "/>
    <numFmt numFmtId="166" formatCode="0.000%"/>
    <numFmt numFmtId="167" formatCode="0.000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vertAlign val="superscript"/>
      <sz val="11"/>
      <color rgb="FFFF0000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C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90">
    <xf numFmtId="0" fontId="0" fillId="0" borderId="0" xfId="0"/>
    <xf numFmtId="9" fontId="0" fillId="0" borderId="0" xfId="0" applyNumberFormat="1"/>
    <xf numFmtId="0" fontId="4" fillId="0" borderId="0" xfId="0" applyFont="1"/>
    <xf numFmtId="0" fontId="0" fillId="2" borderId="0" xfId="0" applyFill="1"/>
    <xf numFmtId="0" fontId="3" fillId="2" borderId="0" xfId="0" applyFont="1" applyFill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6" fillId="2" borderId="0" xfId="0" applyFont="1" applyFill="1"/>
    <xf numFmtId="164" fontId="0" fillId="2" borderId="0" xfId="0" applyNumberFormat="1" applyFill="1"/>
    <xf numFmtId="0" fontId="8" fillId="2" borderId="0" xfId="0" quotePrefix="1" applyFont="1" applyFill="1" applyAlignment="1">
      <alignment horizontal="right"/>
    </xf>
    <xf numFmtId="0" fontId="9" fillId="2" borderId="0" xfId="0" applyFont="1" applyFill="1"/>
    <xf numFmtId="0" fontId="8" fillId="2" borderId="0" xfId="0" quotePrefix="1" applyFont="1" applyFill="1"/>
    <xf numFmtId="165" fontId="0" fillId="4" borderId="3" xfId="0" applyNumberFormat="1" applyFill="1" applyBorder="1"/>
    <xf numFmtId="0" fontId="9" fillId="2" borderId="5" xfId="0" quotePrefix="1" applyFont="1" applyFill="1" applyBorder="1"/>
    <xf numFmtId="0" fontId="8" fillId="2" borderId="5" xfId="0" quotePrefix="1" applyFont="1" applyFill="1" applyBorder="1"/>
    <xf numFmtId="0" fontId="0" fillId="2" borderId="5" xfId="0" applyFill="1" applyBorder="1"/>
    <xf numFmtId="165" fontId="0" fillId="4" borderId="6" xfId="0" applyNumberFormat="1" applyFill="1" applyBorder="1"/>
    <xf numFmtId="0" fontId="12" fillId="2" borderId="0" xfId="0" applyFont="1" applyFill="1"/>
    <xf numFmtId="165" fontId="0" fillId="4" borderId="7" xfId="0" applyNumberFormat="1" applyFill="1" applyBorder="1"/>
    <xf numFmtId="0" fontId="8" fillId="2" borderId="0" xfId="0" applyFont="1" applyFill="1" applyAlignment="1">
      <alignment horizontal="right"/>
    </xf>
    <xf numFmtId="0" fontId="8" fillId="2" borderId="0" xfId="0" applyFont="1" applyFill="1"/>
    <xf numFmtId="165" fontId="0" fillId="2" borderId="0" xfId="0" applyNumberFormat="1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2" fillId="2" borderId="0" xfId="0" quotePrefix="1" applyFont="1" applyFill="1"/>
    <xf numFmtId="0" fontId="1" fillId="2" borderId="0" xfId="0" applyFont="1" applyFill="1" applyAlignment="1">
      <alignment horizontal="left" vertical="center"/>
    </xf>
    <xf numFmtId="0" fontId="1" fillId="2" borderId="0" xfId="0" quotePrefix="1" applyFont="1" applyFill="1" applyAlignment="1">
      <alignment wrapText="1"/>
    </xf>
    <xf numFmtId="165" fontId="1" fillId="4" borderId="3" xfId="0" applyNumberFormat="1" applyFont="1" applyFill="1" applyBorder="1"/>
    <xf numFmtId="0" fontId="8" fillId="2" borderId="0" xfId="0" quotePrefix="1" applyFont="1" applyFill="1" applyAlignment="1">
      <alignment horizontal="center"/>
    </xf>
    <xf numFmtId="165" fontId="13" fillId="4" borderId="3" xfId="0" applyNumberFormat="1" applyFont="1" applyFill="1" applyBorder="1" applyAlignment="1">
      <alignment vertical="center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9" fillId="2" borderId="0" xfId="0" quotePrefix="1" applyFont="1" applyFill="1"/>
    <xf numFmtId="0" fontId="15" fillId="2" borderId="0" xfId="0" applyFont="1" applyFill="1"/>
    <xf numFmtId="0" fontId="1" fillId="2" borderId="0" xfId="0" quotePrefix="1" applyFont="1" applyFill="1"/>
    <xf numFmtId="0" fontId="1" fillId="0" borderId="0" xfId="0" applyFont="1"/>
    <xf numFmtId="165" fontId="4" fillId="4" borderId="3" xfId="0" applyNumberFormat="1" applyFont="1" applyFill="1" applyBorder="1" applyAlignment="1">
      <alignment horizontal="center" vertical="center" wrapText="1"/>
    </xf>
    <xf numFmtId="0" fontId="13" fillId="2" borderId="0" xfId="0" quotePrefix="1" applyFont="1" applyFill="1" applyAlignment="1">
      <alignment horizontal="left" vertical="center" wrapText="1"/>
    </xf>
    <xf numFmtId="0" fontId="13" fillId="2" borderId="10" xfId="0" quotePrefix="1" applyFont="1" applyFill="1" applyBorder="1" applyAlignment="1">
      <alignment horizontal="left" vertical="center" wrapText="1"/>
    </xf>
    <xf numFmtId="9" fontId="0" fillId="6" borderId="3" xfId="0" applyNumberFormat="1" applyFill="1" applyBorder="1"/>
    <xf numFmtId="9" fontId="0" fillId="6" borderId="11" xfId="0" applyNumberFormat="1" applyFill="1" applyBorder="1"/>
    <xf numFmtId="0" fontId="4" fillId="6" borderId="3" xfId="0" applyFont="1" applyFill="1" applyBorder="1"/>
    <xf numFmtId="0" fontId="0" fillId="6" borderId="3" xfId="0" applyFill="1" applyBorder="1"/>
    <xf numFmtId="2" fontId="0" fillId="6" borderId="3" xfId="0" applyNumberFormat="1" applyFill="1" applyBorder="1"/>
    <xf numFmtId="9" fontId="0" fillId="6" borderId="7" xfId="0" applyNumberFormat="1" applyFill="1" applyBorder="1"/>
    <xf numFmtId="0" fontId="2" fillId="0" borderId="3" xfId="0" applyFont="1" applyBorder="1"/>
    <xf numFmtId="0" fontId="2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2" borderId="5" xfId="0" quotePrefix="1" applyFont="1" applyFill="1" applyBorder="1" applyAlignment="1">
      <alignment horizontal="right"/>
    </xf>
    <xf numFmtId="4" fontId="0" fillId="4" borderId="3" xfId="0" applyNumberFormat="1" applyFill="1" applyBorder="1"/>
    <xf numFmtId="4" fontId="0" fillId="4" borderId="9" xfId="0" applyNumberFormat="1" applyFill="1" applyBorder="1"/>
    <xf numFmtId="4" fontId="0" fillId="4" borderId="7" xfId="0" applyNumberFormat="1" applyFill="1" applyBorder="1"/>
    <xf numFmtId="4" fontId="8" fillId="2" borderId="0" xfId="0" applyNumberFormat="1" applyFont="1" applyFill="1"/>
    <xf numFmtId="165" fontId="0" fillId="0" borderId="3" xfId="0" applyNumberFormat="1" applyBorder="1"/>
    <xf numFmtId="0" fontId="9" fillId="2" borderId="0" xfId="0" applyFont="1" applyFill="1" applyAlignment="1">
      <alignment vertical="center"/>
    </xf>
    <xf numFmtId="0" fontId="2" fillId="0" borderId="14" xfId="0" applyFont="1" applyBorder="1"/>
    <xf numFmtId="0" fontId="0" fillId="8" borderId="0" xfId="0" applyFill="1"/>
    <xf numFmtId="9" fontId="0" fillId="8" borderId="0" xfId="0" applyNumberFormat="1" applyFill="1"/>
    <xf numFmtId="0" fontId="22" fillId="0" borderId="0" xfId="0" applyFont="1"/>
    <xf numFmtId="0" fontId="23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1" xfId="0" applyFont="1" applyBorder="1"/>
    <xf numFmtId="2" fontId="0" fillId="0" borderId="0" xfId="0" applyNumberFormat="1"/>
    <xf numFmtId="0" fontId="0" fillId="0" borderId="14" xfId="0" applyBorder="1"/>
    <xf numFmtId="0" fontId="4" fillId="0" borderId="14" xfId="0" applyFont="1" applyBorder="1"/>
    <xf numFmtId="2" fontId="0" fillId="0" borderId="14" xfId="0" applyNumberFormat="1" applyBorder="1"/>
    <xf numFmtId="166" fontId="0" fillId="0" borderId="0" xfId="1" applyNumberFormat="1" applyFont="1"/>
    <xf numFmtId="167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/>
    <xf numFmtId="0" fontId="4" fillId="0" borderId="0" xfId="0" quotePrefix="1" applyFont="1"/>
    <xf numFmtId="0" fontId="0" fillId="0" borderId="14" xfId="0" quotePrefix="1" applyBorder="1"/>
    <xf numFmtId="0" fontId="4" fillId="0" borderId="14" xfId="0" quotePrefix="1" applyFont="1" applyBorder="1"/>
    <xf numFmtId="0" fontId="2" fillId="0" borderId="0" xfId="0" applyFont="1" applyAlignment="1">
      <alignment horizontal="right"/>
    </xf>
    <xf numFmtId="2" fontId="24" fillId="0" borderId="0" xfId="0" applyNumberFormat="1" applyFont="1"/>
    <xf numFmtId="165" fontId="4" fillId="5" borderId="0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0" fontId="18" fillId="7" borderId="0" xfId="0" applyFont="1" applyFill="1" applyAlignment="1">
      <alignment horizontal="center" vertical="center" wrapText="1"/>
    </xf>
    <xf numFmtId="165" fontId="4" fillId="5" borderId="12" xfId="0" applyNumberFormat="1" applyFont="1" applyFill="1" applyBorder="1" applyAlignment="1">
      <alignment horizontal="right" wrapText="1"/>
    </xf>
    <xf numFmtId="165" fontId="4" fillId="5" borderId="13" xfId="0" applyNumberFormat="1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15" xfId="0" applyFont="1" applyBorder="1" applyAlignment="1">
      <alignment horizontal="center"/>
    </xf>
    <xf numFmtId="0" fontId="0" fillId="6" borderId="3" xfId="0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295275</xdr:colOff>
      <xdr:row>21</xdr:row>
      <xdr:rowOff>32115</xdr:rowOff>
    </xdr:from>
    <xdr:to>
      <xdr:col>20</xdr:col>
      <xdr:colOff>552547</xdr:colOff>
      <xdr:row>42</xdr:row>
      <xdr:rowOff>111126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65F4338-BFF7-4E7B-9FFD-CC7F6C865B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2179"/>
        <a:stretch/>
      </xdr:blipFill>
      <xdr:spPr>
        <a:xfrm>
          <a:off x="8939213" y="4056428"/>
          <a:ext cx="5744625" cy="4349386"/>
        </a:xfrm>
        <a:prstGeom prst="rect">
          <a:avLst/>
        </a:prstGeom>
      </xdr:spPr>
    </xdr:pic>
    <xdr:clientData/>
  </xdr:twoCellAnchor>
  <xdr:twoCellAnchor editAs="oneCell">
    <xdr:from>
      <xdr:col>11</xdr:col>
      <xdr:colOff>194095</xdr:colOff>
      <xdr:row>4</xdr:row>
      <xdr:rowOff>132261</xdr:rowOff>
    </xdr:from>
    <xdr:to>
      <xdr:col>17</xdr:col>
      <xdr:colOff>55551</xdr:colOff>
      <xdr:row>16</xdr:row>
      <xdr:rowOff>98369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1229D18-F133-4866-A1B5-138F0B01B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48238" y="867047"/>
          <a:ext cx="3548719" cy="2329941"/>
        </a:xfrm>
        <a:prstGeom prst="rect">
          <a:avLst/>
        </a:prstGeom>
      </xdr:spPr>
    </xdr:pic>
    <xdr:clientData/>
  </xdr:twoCellAnchor>
  <xdr:twoCellAnchor editAs="oneCell">
    <xdr:from>
      <xdr:col>11</xdr:col>
      <xdr:colOff>338679</xdr:colOff>
      <xdr:row>52</xdr:row>
      <xdr:rowOff>212090</xdr:rowOff>
    </xdr:from>
    <xdr:to>
      <xdr:col>20</xdr:col>
      <xdr:colOff>592434</xdr:colOff>
      <xdr:row>61</xdr:row>
      <xdr:rowOff>416507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D311C4F8-D4CC-4D4C-9C2F-C65CFC8D6D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68071"/>
        <a:stretch/>
      </xdr:blipFill>
      <xdr:spPr>
        <a:xfrm>
          <a:off x="8982617" y="10808653"/>
          <a:ext cx="5741108" cy="2053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4A5BF-66BB-42D2-BAE9-FA7878D417CE}">
  <dimension ref="B2:O65"/>
  <sheetViews>
    <sheetView showGridLines="0" zoomScale="120" zoomScaleNormal="120" workbookViewId="0">
      <selection activeCell="F9" sqref="F9"/>
    </sheetView>
  </sheetViews>
  <sheetFormatPr defaultRowHeight="14.4" x14ac:dyDescent="0.3"/>
  <cols>
    <col min="1" max="1" width="3.109375" customWidth="1"/>
    <col min="2" max="2" width="24.109375" customWidth="1"/>
    <col min="5" max="5" width="10" customWidth="1"/>
    <col min="6" max="6" width="19.44140625" customWidth="1"/>
    <col min="7" max="7" width="10.5546875" customWidth="1"/>
    <col min="8" max="8" width="9.88671875" customWidth="1"/>
    <col min="9" max="10" width="10.33203125" customWidth="1"/>
    <col min="11" max="11" width="13.33203125" customWidth="1"/>
  </cols>
  <sheetData>
    <row r="2" spans="5:11" x14ac:dyDescent="0.3">
      <c r="E2" s="81" t="s">
        <v>55</v>
      </c>
      <c r="F2" s="81"/>
    </row>
    <row r="3" spans="5:11" x14ac:dyDescent="0.3">
      <c r="E3" s="81"/>
      <c r="F3" s="81"/>
    </row>
    <row r="4" spans="5:11" x14ac:dyDescent="0.3">
      <c r="E4" s="81"/>
      <c r="F4" s="81"/>
    </row>
    <row r="6" spans="5:11" ht="16.2" customHeight="1" x14ac:dyDescent="0.3">
      <c r="G6" s="47">
        <v>0</v>
      </c>
      <c r="H6" s="47">
        <v>1</v>
      </c>
      <c r="I6" s="47">
        <v>2</v>
      </c>
      <c r="J6" s="47">
        <v>3</v>
      </c>
      <c r="K6" s="47">
        <v>4</v>
      </c>
    </row>
    <row r="7" spans="5:11" ht="16.8" customHeight="1" x14ac:dyDescent="0.3">
      <c r="F7" s="43" t="s">
        <v>1</v>
      </c>
      <c r="H7" s="46">
        <v>0.14000000000000001</v>
      </c>
      <c r="I7" s="46">
        <f>H7</f>
        <v>0.14000000000000001</v>
      </c>
      <c r="J7" s="46">
        <f t="shared" ref="J7:K7" si="0">I7</f>
        <v>0.14000000000000001</v>
      </c>
      <c r="K7" s="46">
        <f t="shared" si="0"/>
        <v>0.14000000000000001</v>
      </c>
    </row>
    <row r="8" spans="5:11" ht="16.2" customHeight="1" x14ac:dyDescent="0.3">
      <c r="F8" s="43" t="s">
        <v>2</v>
      </c>
      <c r="H8" s="41">
        <v>0.05</v>
      </c>
      <c r="I8" s="41">
        <f>H8</f>
        <v>0.05</v>
      </c>
      <c r="J8" s="41">
        <f t="shared" ref="J8:K8" si="1">I8</f>
        <v>0.05</v>
      </c>
      <c r="K8" s="41">
        <f t="shared" si="1"/>
        <v>0.05</v>
      </c>
    </row>
    <row r="9" spans="5:11" ht="16.2" customHeight="1" x14ac:dyDescent="0.3">
      <c r="F9" s="43" t="s">
        <v>3</v>
      </c>
      <c r="H9" s="41">
        <v>0.04</v>
      </c>
      <c r="I9" s="41">
        <f>H9</f>
        <v>0.04</v>
      </c>
      <c r="J9" s="41">
        <f t="shared" ref="J9:K9" si="2">I9</f>
        <v>0.04</v>
      </c>
      <c r="K9" s="41">
        <f t="shared" si="2"/>
        <v>0.04</v>
      </c>
    </row>
    <row r="10" spans="5:11" ht="16.2" customHeight="1" x14ac:dyDescent="0.3">
      <c r="F10" s="43" t="s">
        <v>4</v>
      </c>
      <c r="G10" s="41">
        <v>0.25</v>
      </c>
      <c r="H10" s="41">
        <v>0.25</v>
      </c>
      <c r="I10" s="41">
        <f>H10</f>
        <v>0.25</v>
      </c>
      <c r="J10" s="41">
        <f t="shared" ref="J10:K11" si="3">I10</f>
        <v>0.25</v>
      </c>
      <c r="K10" s="41">
        <f t="shared" si="3"/>
        <v>0.25</v>
      </c>
    </row>
    <row r="11" spans="5:11" x14ac:dyDescent="0.3">
      <c r="F11" s="89" t="s">
        <v>58</v>
      </c>
      <c r="G11" s="42">
        <v>1</v>
      </c>
      <c r="H11" s="41">
        <v>0.9</v>
      </c>
      <c r="I11" s="41">
        <f>H11</f>
        <v>0.9</v>
      </c>
      <c r="J11" s="41">
        <f t="shared" si="3"/>
        <v>0.9</v>
      </c>
      <c r="K11" s="1"/>
    </row>
    <row r="12" spans="5:11" ht="16.2" x14ac:dyDescent="0.3">
      <c r="F12" s="43" t="s">
        <v>54</v>
      </c>
    </row>
    <row r="14" spans="5:11" x14ac:dyDescent="0.3">
      <c r="F14" s="44" t="s">
        <v>0</v>
      </c>
      <c r="H14" s="45">
        <v>10</v>
      </c>
      <c r="I14" s="45">
        <f>H14</f>
        <v>10</v>
      </c>
      <c r="J14" s="45">
        <v>20</v>
      </c>
      <c r="K14" s="45">
        <v>25</v>
      </c>
    </row>
    <row r="15" spans="5:11" x14ac:dyDescent="0.3">
      <c r="F15" s="44" t="s">
        <v>5</v>
      </c>
      <c r="G15" s="44">
        <v>100</v>
      </c>
      <c r="H15" s="44">
        <v>70</v>
      </c>
      <c r="I15" s="44">
        <v>30</v>
      </c>
      <c r="J15" s="44">
        <v>10</v>
      </c>
      <c r="K15" s="44">
        <v>0</v>
      </c>
    </row>
    <row r="16" spans="5:11" x14ac:dyDescent="0.3">
      <c r="F16" s="44" t="s">
        <v>6</v>
      </c>
      <c r="G16" s="44">
        <v>70</v>
      </c>
      <c r="H16" s="44">
        <v>40</v>
      </c>
      <c r="I16" s="44">
        <v>20</v>
      </c>
      <c r="J16" s="44">
        <v>10</v>
      </c>
      <c r="K16" s="44">
        <v>0</v>
      </c>
    </row>
    <row r="20" spans="2:15" ht="16.2" customHeight="1" x14ac:dyDescent="0.3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16.8" customHeight="1" x14ac:dyDescent="0.3">
      <c r="O21" s="7"/>
    </row>
    <row r="22" spans="2:15" ht="15" thickBot="1" x14ac:dyDescent="0.35">
      <c r="B22" s="4"/>
      <c r="C22" s="3"/>
      <c r="D22" s="3"/>
      <c r="E22" s="5" t="s">
        <v>7</v>
      </c>
      <c r="F22" s="49">
        <v>-1</v>
      </c>
      <c r="G22" s="48">
        <v>0</v>
      </c>
      <c r="H22" s="48">
        <v>1</v>
      </c>
      <c r="I22" s="48">
        <v>2</v>
      </c>
      <c r="J22" s="48">
        <v>3</v>
      </c>
      <c r="K22" s="48">
        <v>4</v>
      </c>
      <c r="L22" s="7"/>
      <c r="O22" s="9"/>
    </row>
    <row r="23" spans="2:15" ht="15" customHeight="1" thickBot="1" x14ac:dyDescent="0.45">
      <c r="B23" s="8" t="s">
        <v>8</v>
      </c>
      <c r="C23" s="3"/>
      <c r="D23" s="3"/>
      <c r="E23" s="7"/>
      <c r="F23" s="7"/>
      <c r="G23" s="7"/>
      <c r="H23" s="7"/>
      <c r="I23" s="7"/>
      <c r="J23" s="7"/>
      <c r="K23" s="7"/>
      <c r="L23" s="9"/>
      <c r="O23" s="9"/>
    </row>
    <row r="24" spans="2:15" ht="16.8" customHeight="1" x14ac:dyDescent="0.3">
      <c r="B24" s="84" t="s">
        <v>9</v>
      </c>
      <c r="C24" s="10" t="s">
        <v>10</v>
      </c>
      <c r="D24" s="11" t="s">
        <v>11</v>
      </c>
      <c r="E24" s="12" t="s">
        <v>12</v>
      </c>
      <c r="F24" s="3"/>
      <c r="G24" s="13">
        <f>G15</f>
        <v>100</v>
      </c>
      <c r="H24" s="13">
        <f>H15</f>
        <v>70</v>
      </c>
      <c r="I24" s="13">
        <f>I15</f>
        <v>30</v>
      </c>
      <c r="J24" s="13">
        <f>J15</f>
        <v>10</v>
      </c>
      <c r="K24" s="13">
        <f>K15</f>
        <v>0</v>
      </c>
      <c r="L24" s="9"/>
      <c r="O24" s="9"/>
    </row>
    <row r="25" spans="2:15" ht="16.2" customHeight="1" thickBot="1" x14ac:dyDescent="0.35">
      <c r="B25" s="85"/>
      <c r="C25" s="10" t="s">
        <v>10</v>
      </c>
      <c r="D25" s="14" t="s">
        <v>13</v>
      </c>
      <c r="E25" s="15" t="s">
        <v>14</v>
      </c>
      <c r="F25" s="16"/>
      <c r="G25" s="17">
        <f xml:space="preserve"> F25 + G39 - G61</f>
        <v>0</v>
      </c>
      <c r="H25" s="17">
        <f t="shared" ref="H25:K25" si="4" xml:space="preserve"> G25 + H39 - H61</f>
        <v>0.48749999999999982</v>
      </c>
      <c r="I25" s="17">
        <f t="shared" si="4"/>
        <v>3.1065124999999991</v>
      </c>
      <c r="J25" s="17">
        <f t="shared" si="4"/>
        <v>5.6526664874999994</v>
      </c>
      <c r="K25" s="17">
        <f t="shared" si="4"/>
        <v>0</v>
      </c>
      <c r="L25" s="9"/>
      <c r="O25" s="9"/>
    </row>
    <row r="26" spans="2:15" ht="15" customHeight="1" x14ac:dyDescent="0.3">
      <c r="B26" s="85"/>
      <c r="C26" s="10" t="s">
        <v>15</v>
      </c>
      <c r="D26" s="11" t="s">
        <v>16</v>
      </c>
      <c r="E26" s="18" t="s">
        <v>17</v>
      </c>
      <c r="F26" s="3"/>
      <c r="G26" s="19">
        <f>SUM(G24:G25)</f>
        <v>100</v>
      </c>
      <c r="H26" s="19">
        <f t="shared" ref="H26:K26" si="5">SUM(H24:H25)</f>
        <v>70.487499999999997</v>
      </c>
      <c r="I26" s="19">
        <f t="shared" si="5"/>
        <v>33.106512500000001</v>
      </c>
      <c r="J26" s="19">
        <f t="shared" si="5"/>
        <v>15.652666487499999</v>
      </c>
      <c r="K26" s="19">
        <f t="shared" si="5"/>
        <v>0</v>
      </c>
      <c r="L26" s="9"/>
      <c r="O26" s="3"/>
    </row>
    <row r="27" spans="2:15" ht="16.8" customHeight="1" x14ac:dyDescent="0.3">
      <c r="B27" s="85"/>
      <c r="C27" s="20"/>
      <c r="D27" s="21"/>
      <c r="E27" s="21"/>
      <c r="F27" s="3"/>
      <c r="G27" s="3"/>
      <c r="H27" s="3"/>
      <c r="I27" s="3"/>
      <c r="J27" s="3"/>
      <c r="K27" s="3"/>
      <c r="L27" s="3"/>
      <c r="O27" s="9"/>
    </row>
    <row r="28" spans="2:15" ht="16.8" customHeight="1" x14ac:dyDescent="0.3">
      <c r="B28" s="85"/>
      <c r="C28" s="10" t="s">
        <v>10</v>
      </c>
      <c r="D28" s="11" t="s">
        <v>18</v>
      </c>
      <c r="E28" s="12" t="s">
        <v>19</v>
      </c>
      <c r="F28" s="3"/>
      <c r="G28" s="13">
        <f>G16</f>
        <v>70</v>
      </c>
      <c r="H28" s="13">
        <f>H16</f>
        <v>40</v>
      </c>
      <c r="I28" s="13">
        <f>I16</f>
        <v>20</v>
      </c>
      <c r="J28" s="13">
        <f>J16</f>
        <v>10</v>
      </c>
      <c r="K28" s="13">
        <f>K16</f>
        <v>0</v>
      </c>
      <c r="L28" s="9"/>
      <c r="O28" s="9"/>
    </row>
    <row r="29" spans="2:15" ht="16.8" customHeight="1" thickBot="1" x14ac:dyDescent="0.35">
      <c r="B29" s="85"/>
      <c r="C29" s="10" t="s">
        <v>10</v>
      </c>
      <c r="D29" s="14" t="s">
        <v>20</v>
      </c>
      <c r="E29" s="15" t="s">
        <v>21</v>
      </c>
      <c r="F29" s="16"/>
      <c r="G29" s="17">
        <f xml:space="preserve"> G30 - G28</f>
        <v>30</v>
      </c>
      <c r="H29" s="17">
        <f t="shared" ref="H29:K29" si="6" xml:space="preserve"> H30 - H28</f>
        <v>30.487499999999997</v>
      </c>
      <c r="I29" s="17">
        <f t="shared" si="6"/>
        <v>13.106512500000001</v>
      </c>
      <c r="J29" s="17">
        <f t="shared" si="6"/>
        <v>5.6526664874999994</v>
      </c>
      <c r="K29" s="17">
        <f t="shared" si="6"/>
        <v>0</v>
      </c>
      <c r="L29" s="9"/>
      <c r="O29" s="9"/>
    </row>
    <row r="30" spans="2:15" ht="16.8" thickBot="1" x14ac:dyDescent="0.35">
      <c r="B30" s="86"/>
      <c r="C30" s="10" t="s">
        <v>15</v>
      </c>
      <c r="D30" s="11" t="s">
        <v>22</v>
      </c>
      <c r="E30" s="18" t="s">
        <v>23</v>
      </c>
      <c r="F30" s="3"/>
      <c r="G30" s="19">
        <f>G26</f>
        <v>100</v>
      </c>
      <c r="H30" s="19">
        <f t="shared" ref="H30:K30" si="7">H26</f>
        <v>70.487499999999997</v>
      </c>
      <c r="I30" s="19">
        <f t="shared" si="7"/>
        <v>33.106512500000001</v>
      </c>
      <c r="J30" s="19">
        <f t="shared" si="7"/>
        <v>15.652666487499999</v>
      </c>
      <c r="K30" s="19">
        <f t="shared" si="7"/>
        <v>0</v>
      </c>
      <c r="L30" s="9"/>
      <c r="O30" s="3"/>
    </row>
    <row r="31" spans="2:15" x14ac:dyDescent="0.3">
      <c r="B31" s="3"/>
      <c r="C31" s="21"/>
      <c r="D31" s="21"/>
      <c r="E31" s="21"/>
      <c r="F31" s="3"/>
      <c r="G31" s="22"/>
      <c r="H31" s="3"/>
      <c r="I31" s="3"/>
      <c r="J31" s="3"/>
      <c r="K31" s="3"/>
      <c r="L31" s="3"/>
      <c r="O31" s="3"/>
    </row>
    <row r="32" spans="2:15" ht="16.8" customHeight="1" x14ac:dyDescent="0.3">
      <c r="B32" s="3"/>
      <c r="C32" s="21"/>
      <c r="D32" s="21"/>
      <c r="E32" s="21"/>
      <c r="F32" s="3"/>
      <c r="G32" s="22"/>
      <c r="H32" s="3"/>
      <c r="I32" s="3"/>
      <c r="J32" s="3"/>
      <c r="K32" s="3"/>
      <c r="L32" s="3"/>
      <c r="O32" s="3"/>
    </row>
    <row r="33" spans="2:15" ht="15" thickBot="1" x14ac:dyDescent="0.35">
      <c r="B33" s="3"/>
      <c r="C33" s="21"/>
      <c r="D33" s="21"/>
      <c r="E33" s="5" t="s">
        <v>7</v>
      </c>
      <c r="F33" s="6">
        <v>-1</v>
      </c>
      <c r="G33" s="6">
        <v>0</v>
      </c>
      <c r="H33" s="6">
        <v>1</v>
      </c>
      <c r="I33" s="6">
        <v>2</v>
      </c>
      <c r="J33" s="6">
        <v>3</v>
      </c>
      <c r="K33" s="6">
        <v>4</v>
      </c>
      <c r="L33" s="3"/>
      <c r="O33" s="3"/>
    </row>
    <row r="34" spans="2:15" x14ac:dyDescent="0.3">
      <c r="B34" s="3"/>
      <c r="C34" s="3"/>
      <c r="D34" s="3"/>
      <c r="E34" s="3"/>
      <c r="F34" s="3"/>
      <c r="G34" s="22"/>
      <c r="H34" s="3"/>
      <c r="I34" s="3"/>
      <c r="J34" s="3"/>
      <c r="K34" s="3"/>
      <c r="L34" s="3"/>
      <c r="O34" s="7"/>
    </row>
    <row r="35" spans="2:15" ht="21" x14ac:dyDescent="0.4">
      <c r="B35" s="8" t="s">
        <v>24</v>
      </c>
      <c r="C35" s="3"/>
      <c r="D35" s="3"/>
      <c r="E35" s="3"/>
      <c r="F35" s="23"/>
      <c r="G35" s="24"/>
      <c r="H35" s="24"/>
      <c r="I35" s="24"/>
      <c r="J35" s="24"/>
      <c r="K35" s="24"/>
      <c r="L35" s="7"/>
      <c r="O35" s="3"/>
    </row>
    <row r="36" spans="2:15" ht="16.2" customHeight="1" thickBot="1" x14ac:dyDescent="0.35">
      <c r="B36" s="3"/>
      <c r="C36" s="21"/>
      <c r="D36" s="21"/>
      <c r="E36" s="21"/>
      <c r="F36" s="3"/>
      <c r="G36" s="3"/>
      <c r="H36" s="3"/>
      <c r="I36" s="3"/>
      <c r="J36" s="3"/>
      <c r="K36" s="3"/>
      <c r="L36" s="3"/>
      <c r="O36" s="3"/>
    </row>
    <row r="37" spans="2:15" ht="16.2" customHeight="1" x14ac:dyDescent="0.3">
      <c r="B37" s="84" t="s">
        <v>25</v>
      </c>
      <c r="C37" s="10"/>
      <c r="D37" s="11"/>
      <c r="E37" s="25" t="s">
        <v>0</v>
      </c>
      <c r="F37" s="3"/>
      <c r="G37" s="51"/>
      <c r="H37" s="51">
        <f>H14</f>
        <v>10</v>
      </c>
      <c r="I37" s="51">
        <f>I14</f>
        <v>10</v>
      </c>
      <c r="J37" s="51">
        <f>J14</f>
        <v>20</v>
      </c>
      <c r="K37" s="51">
        <f>K14</f>
        <v>25</v>
      </c>
      <c r="L37" s="3"/>
      <c r="O37" s="3"/>
    </row>
    <row r="38" spans="2:15" ht="16.8" customHeight="1" x14ac:dyDescent="0.3">
      <c r="B38" s="85"/>
      <c r="C38" s="10" t="s">
        <v>10</v>
      </c>
      <c r="D38" s="11" t="s">
        <v>29</v>
      </c>
      <c r="E38" s="21" t="s">
        <v>30</v>
      </c>
      <c r="F38" s="3"/>
      <c r="G38" s="51">
        <f xml:space="preserve"> (-1) * G8*F28</f>
        <v>0</v>
      </c>
      <c r="H38" s="51">
        <f xml:space="preserve"> (-1) * H8 * G28</f>
        <v>-3.5</v>
      </c>
      <c r="I38" s="51">
        <f xml:space="preserve"> (-1) * I8 * H28</f>
        <v>-2</v>
      </c>
      <c r="J38" s="51">
        <f xml:space="preserve"> (-1) * J8 * I28</f>
        <v>-1</v>
      </c>
      <c r="K38" s="51">
        <f xml:space="preserve"> (-1) * K8 * J28</f>
        <v>-0.5</v>
      </c>
      <c r="L38" s="3"/>
      <c r="O38" s="3"/>
    </row>
    <row r="39" spans="2:15" ht="16.2" customHeight="1" thickBot="1" x14ac:dyDescent="0.35">
      <c r="B39" s="85"/>
      <c r="C39" s="50" t="s">
        <v>26</v>
      </c>
      <c r="D39" s="14" t="s">
        <v>27</v>
      </c>
      <c r="E39" s="15" t="s">
        <v>28</v>
      </c>
      <c r="F39" s="14"/>
      <c r="G39" s="52">
        <f xml:space="preserve"> G9*F25</f>
        <v>0</v>
      </c>
      <c r="H39" s="52">
        <f xml:space="preserve"> H9*G25</f>
        <v>0</v>
      </c>
      <c r="I39" s="52">
        <f xml:space="preserve"> I9*H25</f>
        <v>1.9499999999999993E-2</v>
      </c>
      <c r="J39" s="52">
        <f xml:space="preserve"> J9*I25</f>
        <v>0.12426049999999997</v>
      </c>
      <c r="K39" s="52">
        <f xml:space="preserve"> K9*J25</f>
        <v>0.22610665949999997</v>
      </c>
      <c r="L39" s="3"/>
      <c r="O39" s="3"/>
    </row>
    <row r="40" spans="2:15" ht="15" customHeight="1" x14ac:dyDescent="0.3">
      <c r="B40" s="85"/>
      <c r="C40" s="10" t="s">
        <v>15</v>
      </c>
      <c r="D40" s="21"/>
      <c r="E40" s="18" t="s">
        <v>31</v>
      </c>
      <c r="F40" s="3"/>
      <c r="G40" s="53">
        <f>SUM(G37:G39)</f>
        <v>0</v>
      </c>
      <c r="H40" s="53">
        <f t="shared" ref="H40" si="8">SUM(H37:H39)</f>
        <v>6.5</v>
      </c>
      <c r="I40" s="53">
        <f t="shared" ref="I40" si="9">SUM(I37:I39)</f>
        <v>8.0195000000000007</v>
      </c>
      <c r="J40" s="53">
        <f t="shared" ref="J40" si="10">SUM(J37:J39)</f>
        <v>19.124260499999998</v>
      </c>
      <c r="K40" s="53">
        <f t="shared" ref="K40" si="11">SUM(K37:K39)</f>
        <v>24.726106659500001</v>
      </c>
      <c r="L40" s="3"/>
      <c r="O40" s="3"/>
    </row>
    <row r="41" spans="2:15" ht="16.8" customHeight="1" thickBot="1" x14ac:dyDescent="0.35">
      <c r="B41" s="85"/>
      <c r="C41" s="10" t="s">
        <v>26</v>
      </c>
      <c r="D41" s="15" t="s">
        <v>32</v>
      </c>
      <c r="E41" s="15" t="s">
        <v>33</v>
      </c>
      <c r="F41" s="15"/>
      <c r="G41" s="52">
        <f>(-1) * G10*G40</f>
        <v>0</v>
      </c>
      <c r="H41" s="52">
        <f>(-1) * H10*H40</f>
        <v>-1.625</v>
      </c>
      <c r="I41" s="52">
        <f>(-1) * I10*I40</f>
        <v>-2.0048750000000002</v>
      </c>
      <c r="J41" s="52">
        <f>(-1) * J10*J40</f>
        <v>-4.7810651249999996</v>
      </c>
      <c r="K41" s="52">
        <f>(-1) * K10*K40</f>
        <v>-6.1815266648750002</v>
      </c>
      <c r="L41" s="3"/>
      <c r="O41" s="3"/>
    </row>
    <row r="42" spans="2:15" ht="16.2" customHeight="1" thickBot="1" x14ac:dyDescent="0.35">
      <c r="B42" s="86"/>
      <c r="C42" s="10" t="s">
        <v>15</v>
      </c>
      <c r="D42" s="11" t="s">
        <v>34</v>
      </c>
      <c r="E42" s="18" t="s">
        <v>35</v>
      </c>
      <c r="F42" s="3"/>
      <c r="G42" s="53">
        <f>SUM(G40:G41)</f>
        <v>0</v>
      </c>
      <c r="H42" s="53">
        <f t="shared" ref="H42:K42" si="12">SUM(H40:H41)</f>
        <v>4.875</v>
      </c>
      <c r="I42" s="53">
        <f t="shared" si="12"/>
        <v>6.0146250000000006</v>
      </c>
      <c r="J42" s="53">
        <f t="shared" si="12"/>
        <v>14.343195374999999</v>
      </c>
      <c r="K42" s="53">
        <f t="shared" si="12"/>
        <v>18.544579994625</v>
      </c>
      <c r="L42" s="3"/>
      <c r="O42" s="3"/>
    </row>
    <row r="43" spans="2:15" ht="14.4" customHeight="1" x14ac:dyDescent="0.3">
      <c r="B43" s="3"/>
      <c r="C43" s="10"/>
      <c r="D43" s="21"/>
      <c r="E43" s="18"/>
      <c r="F43" s="21"/>
      <c r="G43" s="21"/>
      <c r="H43" s="54"/>
      <c r="I43" s="21"/>
      <c r="J43" s="21"/>
      <c r="K43" s="21"/>
      <c r="L43" s="3"/>
      <c r="O43" s="3"/>
    </row>
    <row r="44" spans="2:15" ht="16.8" customHeight="1" x14ac:dyDescent="0.3">
      <c r="B44" s="3"/>
      <c r="C44" s="10"/>
      <c r="F44" s="21"/>
      <c r="G44" s="21"/>
      <c r="H44" s="21"/>
      <c r="I44" s="21"/>
      <c r="J44" s="21"/>
      <c r="K44" s="21"/>
      <c r="L44" s="3"/>
      <c r="O44" s="3"/>
    </row>
    <row r="45" spans="2:15" ht="16.8" customHeight="1" x14ac:dyDescent="0.3">
      <c r="B45" s="3"/>
      <c r="C45" s="10"/>
      <c r="D45" s="26" t="s">
        <v>32</v>
      </c>
      <c r="E45" s="27" t="s">
        <v>36</v>
      </c>
      <c r="F45" s="3"/>
      <c r="G45" s="28">
        <f>(-1)*G41</f>
        <v>0</v>
      </c>
      <c r="H45" s="28">
        <f t="shared" ref="H45:K45" si="13">(-1)*H41</f>
        <v>1.625</v>
      </c>
      <c r="I45" s="28">
        <f t="shared" si="13"/>
        <v>2.0048750000000002</v>
      </c>
      <c r="J45" s="28">
        <f t="shared" si="13"/>
        <v>4.7810651249999996</v>
      </c>
      <c r="K45" s="28">
        <f t="shared" si="13"/>
        <v>6.1815266648750002</v>
      </c>
      <c r="L45" s="3"/>
      <c r="O45" s="3"/>
    </row>
    <row r="46" spans="2:15" ht="16.2" customHeight="1" x14ac:dyDescent="0.3">
      <c r="B46" s="3"/>
      <c r="C46" s="10"/>
      <c r="D46" s="21"/>
      <c r="E46" s="21"/>
      <c r="F46" s="3"/>
      <c r="G46" s="3"/>
      <c r="H46" s="3"/>
      <c r="I46" s="3"/>
      <c r="J46" s="3"/>
      <c r="K46" s="3"/>
      <c r="L46" s="3"/>
      <c r="O46" s="9"/>
    </row>
    <row r="47" spans="2:15" ht="43.2" x14ac:dyDescent="0.3">
      <c r="B47" s="3"/>
      <c r="C47" s="29"/>
      <c r="D47" s="56" t="s">
        <v>37</v>
      </c>
      <c r="E47" s="39" t="s">
        <v>52</v>
      </c>
      <c r="F47" s="40"/>
      <c r="G47" s="30">
        <f>G37-G45</f>
        <v>0</v>
      </c>
      <c r="H47" s="30">
        <f t="shared" ref="H47:K47" si="14">H37-H45</f>
        <v>8.375</v>
      </c>
      <c r="I47" s="30">
        <f t="shared" si="14"/>
        <v>7.9951249999999998</v>
      </c>
      <c r="J47" s="30">
        <f t="shared" si="14"/>
        <v>15.218934875</v>
      </c>
      <c r="K47" s="30">
        <f t="shared" si="14"/>
        <v>18.818473335124999</v>
      </c>
      <c r="L47" s="9"/>
      <c r="O47" s="9"/>
    </row>
    <row r="48" spans="2:15" x14ac:dyDescent="0.3">
      <c r="B48" s="3"/>
      <c r="C48" s="29"/>
      <c r="D48" s="29"/>
      <c r="E48" s="21"/>
      <c r="F48" s="21"/>
      <c r="G48" s="21"/>
      <c r="H48" s="21"/>
      <c r="I48" s="21"/>
      <c r="J48" s="21"/>
      <c r="K48" s="21"/>
      <c r="L48" s="9"/>
      <c r="O48" s="9"/>
    </row>
    <row r="49" spans="2:15" ht="16.2" x14ac:dyDescent="0.3">
      <c r="B49" s="3"/>
      <c r="C49" s="29"/>
      <c r="D49" s="11" t="s">
        <v>29</v>
      </c>
      <c r="E49" s="31" t="s">
        <v>38</v>
      </c>
      <c r="F49" s="31"/>
      <c r="G49" s="28">
        <f>(-1) * G38</f>
        <v>0</v>
      </c>
      <c r="H49" s="28">
        <f t="shared" ref="H49:K49" si="15">(-1) * H38</f>
        <v>3.5</v>
      </c>
      <c r="I49" s="28">
        <f t="shared" si="15"/>
        <v>2</v>
      </c>
      <c r="J49" s="28">
        <f t="shared" si="15"/>
        <v>1</v>
      </c>
      <c r="K49" s="28">
        <f t="shared" si="15"/>
        <v>0.5</v>
      </c>
      <c r="L49" s="9"/>
      <c r="O49" s="7"/>
    </row>
    <row r="50" spans="2:15" x14ac:dyDescent="0.3">
      <c r="B50" s="3"/>
      <c r="C50" s="21"/>
      <c r="D50" s="21"/>
      <c r="E50" s="21"/>
      <c r="F50" s="3"/>
      <c r="G50" s="3"/>
      <c r="H50" s="3"/>
      <c r="I50" s="3"/>
      <c r="J50" s="3"/>
      <c r="K50" s="3"/>
      <c r="L50" s="7"/>
      <c r="O50" s="7"/>
    </row>
    <row r="51" spans="2:15" ht="15" thickBot="1" x14ac:dyDescent="0.35">
      <c r="B51" s="3"/>
      <c r="C51" s="21"/>
      <c r="D51" s="21"/>
      <c r="E51" s="5" t="s">
        <v>7</v>
      </c>
      <c r="F51" s="6">
        <v>-1</v>
      </c>
      <c r="G51" s="6">
        <v>0</v>
      </c>
      <c r="H51" s="6">
        <v>1</v>
      </c>
      <c r="I51" s="6">
        <v>2</v>
      </c>
      <c r="J51" s="6">
        <v>3</v>
      </c>
      <c r="K51" s="6">
        <v>4</v>
      </c>
      <c r="L51" s="7"/>
      <c r="O51" s="7"/>
    </row>
    <row r="52" spans="2:15" x14ac:dyDescent="0.3">
      <c r="B52" s="3"/>
      <c r="C52" s="21"/>
      <c r="D52" s="21"/>
      <c r="E52" s="21"/>
      <c r="F52" s="3"/>
      <c r="G52" s="3"/>
      <c r="H52" s="3"/>
      <c r="I52" s="3"/>
      <c r="J52" s="3"/>
      <c r="K52" s="3"/>
      <c r="L52" s="7"/>
      <c r="O52" s="3"/>
    </row>
    <row r="53" spans="2:15" ht="21" x14ac:dyDescent="0.4">
      <c r="B53" s="8" t="s">
        <v>39</v>
      </c>
      <c r="C53" s="32"/>
      <c r="D53" s="32"/>
      <c r="E53" s="32"/>
      <c r="F53" s="23"/>
      <c r="G53" s="24"/>
      <c r="H53" s="24"/>
      <c r="I53" s="24"/>
      <c r="J53" s="24"/>
      <c r="K53" s="24"/>
      <c r="L53" s="3"/>
      <c r="O53" s="3"/>
    </row>
    <row r="54" spans="2:15" ht="16.2" customHeight="1" thickBot="1" x14ac:dyDescent="0.35">
      <c r="B54" s="3"/>
      <c r="C54" s="33"/>
      <c r="D54" s="33"/>
      <c r="E54" s="33"/>
      <c r="F54" s="23"/>
      <c r="G54" s="24"/>
      <c r="H54" s="24"/>
      <c r="I54" s="24"/>
      <c r="J54" s="24"/>
      <c r="K54" s="24"/>
      <c r="L54" s="3"/>
      <c r="O54" s="9"/>
    </row>
    <row r="55" spans="2:15" ht="16.8" customHeight="1" x14ac:dyDescent="0.3">
      <c r="B55" s="84" t="s">
        <v>40</v>
      </c>
      <c r="C55" s="10" t="s">
        <v>10</v>
      </c>
      <c r="D55" s="11" t="s">
        <v>41</v>
      </c>
      <c r="E55" s="12" t="s">
        <v>42</v>
      </c>
      <c r="F55" s="3"/>
      <c r="G55" s="13">
        <f xml:space="preserve"> G47 - ( G24 - F24 )</f>
        <v>-100</v>
      </c>
      <c r="H55" s="13">
        <f t="shared" ref="H55:K55" si="16" xml:space="preserve"> H47 - ( H24 - G24 )</f>
        <v>38.375</v>
      </c>
      <c r="I55" s="13">
        <f t="shared" si="16"/>
        <v>47.995125000000002</v>
      </c>
      <c r="J55" s="13">
        <f t="shared" si="16"/>
        <v>35.218934875000002</v>
      </c>
      <c r="K55" s="13">
        <f t="shared" si="16"/>
        <v>28.818473335124999</v>
      </c>
      <c r="L55" s="9"/>
      <c r="O55" s="9"/>
    </row>
    <row r="56" spans="2:15" ht="16.2" customHeight="1" thickBot="1" x14ac:dyDescent="0.35">
      <c r="B56" s="85"/>
      <c r="C56" s="10" t="s">
        <v>26</v>
      </c>
      <c r="D56" s="14" t="s">
        <v>43</v>
      </c>
      <c r="E56" s="15" t="s">
        <v>44</v>
      </c>
      <c r="F56" s="16"/>
      <c r="G56" s="17">
        <f>(-1)*( G49 - ( G28 - F28 ) )</f>
        <v>70</v>
      </c>
      <c r="H56" s="17">
        <f t="shared" ref="H56:K56" si="17">(-1)*( H49 - ( H28 - G28 ) )</f>
        <v>-33.5</v>
      </c>
      <c r="I56" s="17">
        <f t="shared" si="17"/>
        <v>-22</v>
      </c>
      <c r="J56" s="17">
        <f t="shared" si="17"/>
        <v>-11</v>
      </c>
      <c r="K56" s="17">
        <f t="shared" si="17"/>
        <v>-10.5</v>
      </c>
      <c r="L56" s="9"/>
      <c r="O56" s="9"/>
    </row>
    <row r="57" spans="2:15" ht="14.4" customHeight="1" x14ac:dyDescent="0.3">
      <c r="B57" s="85"/>
      <c r="C57" s="10" t="s">
        <v>15</v>
      </c>
      <c r="D57" s="34" t="s">
        <v>45</v>
      </c>
      <c r="E57" s="25" t="s">
        <v>46</v>
      </c>
      <c r="F57" s="3"/>
      <c r="G57" s="19">
        <f>SUM(G55:G56)</f>
        <v>-30</v>
      </c>
      <c r="H57" s="19">
        <f t="shared" ref="H57:K57" si="18">SUM(H55:H56)</f>
        <v>4.875</v>
      </c>
      <c r="I57" s="19">
        <f t="shared" si="18"/>
        <v>25.995125000000002</v>
      </c>
      <c r="J57" s="19">
        <f t="shared" si="18"/>
        <v>24.218934875000002</v>
      </c>
      <c r="K57" s="19">
        <f t="shared" si="18"/>
        <v>18.318473335124999</v>
      </c>
      <c r="L57" s="9"/>
      <c r="O57" s="9"/>
    </row>
    <row r="58" spans="2:15" ht="16.2" customHeight="1" x14ac:dyDescent="0.3">
      <c r="B58" s="85"/>
      <c r="C58" s="29"/>
      <c r="D58" s="21"/>
      <c r="E58" s="12"/>
      <c r="F58" s="3"/>
      <c r="G58" s="3"/>
      <c r="H58" s="3"/>
      <c r="I58" s="3"/>
      <c r="J58" s="3"/>
      <c r="K58" s="3"/>
      <c r="L58" s="9"/>
      <c r="O58" s="9"/>
    </row>
    <row r="59" spans="2:15" ht="14.4" customHeight="1" x14ac:dyDescent="0.3">
      <c r="B59" s="85"/>
      <c r="C59" s="29"/>
      <c r="D59" s="35" t="s">
        <v>47</v>
      </c>
      <c r="E59" s="36" t="s">
        <v>48</v>
      </c>
      <c r="F59" s="37"/>
      <c r="G59" s="28">
        <f>G11 * G57</f>
        <v>-30</v>
      </c>
      <c r="H59" s="28">
        <f>H11 * H57</f>
        <v>4.3875000000000002</v>
      </c>
      <c r="I59" s="28">
        <f>I11 * I57</f>
        <v>23.395612500000002</v>
      </c>
      <c r="J59" s="28">
        <f>J11 * J57</f>
        <v>21.797041387500002</v>
      </c>
      <c r="K59" s="28">
        <f xml:space="preserve"> J29 +K42</f>
        <v>24.197246482124999</v>
      </c>
      <c r="L59" s="9"/>
      <c r="O59" s="9"/>
    </row>
    <row r="60" spans="2:15" ht="16.8" customHeight="1" x14ac:dyDescent="0.3">
      <c r="B60" s="85"/>
      <c r="C60" s="29"/>
      <c r="D60" s="21"/>
      <c r="E60" s="12"/>
      <c r="F60" s="3"/>
      <c r="G60" s="3"/>
      <c r="H60" s="3"/>
      <c r="I60" s="3"/>
      <c r="J60" s="3"/>
      <c r="K60" s="3"/>
      <c r="L60" s="9"/>
      <c r="O60" s="9"/>
    </row>
    <row r="61" spans="2:15" ht="14.4" customHeight="1" x14ac:dyDescent="0.3">
      <c r="B61" s="85"/>
      <c r="C61" s="10"/>
      <c r="D61" s="34" t="s">
        <v>53</v>
      </c>
      <c r="E61" s="25" t="s">
        <v>49</v>
      </c>
      <c r="F61" s="3"/>
      <c r="G61" s="19">
        <f xml:space="preserve"> G59 - G57</f>
        <v>0</v>
      </c>
      <c r="H61" s="19">
        <f t="shared" ref="H61:K61" si="19" xml:space="preserve"> H59 - H57</f>
        <v>-0.48749999999999982</v>
      </c>
      <c r="I61" s="19">
        <f t="shared" si="19"/>
        <v>-2.5995124999999994</v>
      </c>
      <c r="J61" s="19">
        <f t="shared" si="19"/>
        <v>-2.4218934875000002</v>
      </c>
      <c r="K61" s="19">
        <f t="shared" si="19"/>
        <v>5.8787731470000004</v>
      </c>
      <c r="L61" s="9"/>
      <c r="O61" s="9"/>
    </row>
    <row r="62" spans="2:15" ht="34.200000000000003" customHeight="1" x14ac:dyDescent="0.3">
      <c r="B62" s="85"/>
      <c r="C62" s="29"/>
      <c r="D62" s="12"/>
      <c r="E62" s="12"/>
      <c r="F62" s="3"/>
      <c r="G62" s="38" t="str">
        <f>IF(G61&gt;0,"prelievo di cassa","ritenzione di cassa")</f>
        <v>ritenzione di cassa</v>
      </c>
      <c r="H62" s="38" t="str">
        <f t="shared" ref="H62:K62" si="20">IF(H61&gt;0,"prelievo di cassa","ritenzione di cassa")</f>
        <v>ritenzione di cassa</v>
      </c>
      <c r="I62" s="38" t="str">
        <f t="shared" si="20"/>
        <v>ritenzione di cassa</v>
      </c>
      <c r="J62" s="38" t="str">
        <f t="shared" si="20"/>
        <v>ritenzione di cassa</v>
      </c>
      <c r="K62" s="38" t="str">
        <f t="shared" si="20"/>
        <v>prelievo di cassa</v>
      </c>
      <c r="L62" s="9"/>
      <c r="O62" s="9"/>
    </row>
    <row r="63" spans="2:15" ht="16.8" customHeight="1" x14ac:dyDescent="0.35">
      <c r="B63" s="85"/>
      <c r="C63" s="3"/>
      <c r="D63" s="3"/>
      <c r="E63" s="3"/>
      <c r="F63" s="3"/>
      <c r="G63" s="3"/>
      <c r="H63" s="3"/>
      <c r="I63" s="82" t="s">
        <v>56</v>
      </c>
      <c r="J63" s="83"/>
      <c r="K63" s="55">
        <f xml:space="preserve"> K57 +K64</f>
        <v>24.197246482124999</v>
      </c>
      <c r="L63" s="2" t="s">
        <v>50</v>
      </c>
      <c r="O63" s="9"/>
    </row>
    <row r="64" spans="2:15" ht="16.8" x14ac:dyDescent="0.35">
      <c r="B64" s="3"/>
      <c r="C64" s="3"/>
      <c r="D64" s="3"/>
      <c r="E64" s="3"/>
      <c r="F64" s="3"/>
      <c r="G64" s="9"/>
      <c r="H64" s="9"/>
      <c r="I64" s="79" t="s">
        <v>57</v>
      </c>
      <c r="J64" s="80"/>
      <c r="K64" s="55">
        <f>J25+K39</f>
        <v>5.8787731469999995</v>
      </c>
      <c r="L64" s="2" t="s">
        <v>51</v>
      </c>
      <c r="O64" s="9"/>
    </row>
    <row r="65" spans="2:12" x14ac:dyDescent="0.3">
      <c r="B65" s="3"/>
      <c r="C65" s="3"/>
      <c r="D65" s="3"/>
      <c r="E65" s="3"/>
      <c r="F65" s="3"/>
      <c r="G65" s="9"/>
      <c r="H65" s="9"/>
      <c r="I65" s="9"/>
      <c r="J65" s="9"/>
      <c r="K65" s="9"/>
      <c r="L65" s="9"/>
    </row>
  </sheetData>
  <mergeCells count="6">
    <mergeCell ref="I64:J64"/>
    <mergeCell ref="E2:F4"/>
    <mergeCell ref="I63:J63"/>
    <mergeCell ref="B24:B30"/>
    <mergeCell ref="B37:B42"/>
    <mergeCell ref="B55:B6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8E877-B28C-46FC-9FCE-AD16ABAD9E60}">
  <dimension ref="E2:V56"/>
  <sheetViews>
    <sheetView tabSelected="1" topLeftCell="A28" workbookViewId="0">
      <selection activeCell="H53" sqref="H53"/>
    </sheetView>
  </sheetViews>
  <sheetFormatPr defaultRowHeight="14.4" x14ac:dyDescent="0.3"/>
  <cols>
    <col min="5" max="5" width="27.109375" customWidth="1"/>
    <col min="6" max="6" width="19.44140625" customWidth="1"/>
    <col min="7" max="7" width="3.33203125" customWidth="1"/>
    <col min="8" max="8" width="7.44140625" customWidth="1"/>
    <col min="9" max="12" width="9" bestFit="1" customWidth="1"/>
    <col min="18" max="21" width="10.33203125" bestFit="1" customWidth="1"/>
    <col min="22" max="22" width="9.33203125" bestFit="1" customWidth="1"/>
  </cols>
  <sheetData>
    <row r="2" spans="5:12" x14ac:dyDescent="0.3">
      <c r="E2" s="81" t="s">
        <v>55</v>
      </c>
      <c r="F2" s="81"/>
    </row>
    <row r="3" spans="5:12" x14ac:dyDescent="0.3">
      <c r="E3" s="81"/>
      <c r="F3" s="81"/>
    </row>
    <row r="4" spans="5:12" x14ac:dyDescent="0.3">
      <c r="E4" s="81"/>
      <c r="F4" s="81"/>
    </row>
    <row r="6" spans="5:12" x14ac:dyDescent="0.3">
      <c r="H6" s="57">
        <v>0</v>
      </c>
      <c r="I6" s="57">
        <v>1</v>
      </c>
      <c r="J6" s="57">
        <v>2</v>
      </c>
      <c r="K6" s="57">
        <v>3</v>
      </c>
      <c r="L6" s="57">
        <v>4</v>
      </c>
    </row>
    <row r="7" spans="5:12" ht="16.2" x14ac:dyDescent="0.3">
      <c r="F7" s="43" t="s">
        <v>1</v>
      </c>
      <c r="I7" s="59">
        <v>0.14000000000000001</v>
      </c>
      <c r="J7" s="59">
        <f>I7</f>
        <v>0.14000000000000001</v>
      </c>
      <c r="K7" s="59">
        <f t="shared" ref="K7:L7" si="0">J7</f>
        <v>0.14000000000000001</v>
      </c>
      <c r="L7" s="59">
        <f t="shared" si="0"/>
        <v>0.14000000000000001</v>
      </c>
    </row>
    <row r="8" spans="5:12" ht="16.2" x14ac:dyDescent="0.3">
      <c r="F8" s="43" t="s">
        <v>2</v>
      </c>
      <c r="I8" s="59">
        <v>0.05</v>
      </c>
      <c r="J8" s="59">
        <f t="shared" ref="J8:L11" si="1">I8</f>
        <v>0.05</v>
      </c>
      <c r="K8" s="59">
        <f t="shared" si="1"/>
        <v>0.05</v>
      </c>
      <c r="L8" s="59">
        <f t="shared" si="1"/>
        <v>0.05</v>
      </c>
    </row>
    <row r="9" spans="5:12" ht="16.2" x14ac:dyDescent="0.3">
      <c r="F9" s="43" t="s">
        <v>3</v>
      </c>
      <c r="I9" s="59">
        <v>0.04</v>
      </c>
      <c r="J9" s="59">
        <f t="shared" si="1"/>
        <v>0.04</v>
      </c>
      <c r="K9" s="59">
        <f t="shared" si="1"/>
        <v>0.04</v>
      </c>
      <c r="L9" s="59">
        <f t="shared" si="1"/>
        <v>0.04</v>
      </c>
    </row>
    <row r="10" spans="5:12" x14ac:dyDescent="0.3">
      <c r="F10" s="43" t="s">
        <v>4</v>
      </c>
      <c r="I10" s="59">
        <v>0.25</v>
      </c>
      <c r="J10" s="59">
        <f t="shared" si="1"/>
        <v>0.25</v>
      </c>
      <c r="K10" s="59">
        <f t="shared" si="1"/>
        <v>0.25</v>
      </c>
      <c r="L10" s="59">
        <f t="shared" si="1"/>
        <v>0.25</v>
      </c>
    </row>
    <row r="11" spans="5:12" x14ac:dyDescent="0.3">
      <c r="F11" s="43" t="s">
        <v>58</v>
      </c>
      <c r="H11" s="59">
        <v>1</v>
      </c>
      <c r="I11" s="59">
        <v>0.9</v>
      </c>
      <c r="J11" s="59">
        <f t="shared" si="1"/>
        <v>0.9</v>
      </c>
      <c r="K11" s="59">
        <f t="shared" si="1"/>
        <v>0.9</v>
      </c>
    </row>
    <row r="12" spans="5:12" ht="16.2" x14ac:dyDescent="0.3">
      <c r="F12" s="43" t="s">
        <v>54</v>
      </c>
    </row>
    <row r="13" spans="5:12" x14ac:dyDescent="0.3">
      <c r="F13" s="43" t="s">
        <v>0</v>
      </c>
      <c r="I13" s="58">
        <v>10</v>
      </c>
      <c r="J13" s="58">
        <v>10</v>
      </c>
      <c r="K13" s="58">
        <v>20</v>
      </c>
      <c r="L13" s="58">
        <v>25</v>
      </c>
    </row>
    <row r="14" spans="5:12" x14ac:dyDescent="0.3">
      <c r="F14" s="43" t="s">
        <v>5</v>
      </c>
      <c r="H14" s="58">
        <v>100</v>
      </c>
      <c r="I14" s="58">
        <v>70</v>
      </c>
      <c r="J14" s="58">
        <v>30</v>
      </c>
      <c r="K14" s="58">
        <v>10</v>
      </c>
      <c r="L14" s="58">
        <v>0</v>
      </c>
    </row>
    <row r="15" spans="5:12" x14ac:dyDescent="0.3">
      <c r="F15" s="43" t="s">
        <v>6</v>
      </c>
      <c r="H15" s="58">
        <v>70</v>
      </c>
      <c r="I15" s="58">
        <v>40</v>
      </c>
      <c r="J15" s="58">
        <v>20</v>
      </c>
      <c r="K15" s="58">
        <v>10</v>
      </c>
      <c r="L15" s="58">
        <v>0</v>
      </c>
    </row>
    <row r="20" spans="5:22" ht="25.8" x14ac:dyDescent="0.5">
      <c r="F20" s="60" t="s">
        <v>8</v>
      </c>
      <c r="Q20" s="88" t="s">
        <v>59</v>
      </c>
      <c r="R20" s="88"/>
      <c r="S20" s="88"/>
      <c r="T20" s="88"/>
      <c r="U20" s="88"/>
      <c r="V20" s="88"/>
    </row>
    <row r="21" spans="5:22" ht="13.05" customHeight="1" x14ac:dyDescent="0.5">
      <c r="F21" s="61"/>
    </row>
    <row r="22" spans="5:22" x14ac:dyDescent="0.3">
      <c r="H22" s="62">
        <f>H6</f>
        <v>0</v>
      </c>
      <c r="I22" s="62">
        <f>I6</f>
        <v>1</v>
      </c>
      <c r="J22" s="62">
        <f>J6</f>
        <v>2</v>
      </c>
      <c r="K22" s="62">
        <f>K6</f>
        <v>3</v>
      </c>
      <c r="L22" s="62">
        <f>L6</f>
        <v>4</v>
      </c>
      <c r="R22" s="63">
        <f>H22</f>
        <v>0</v>
      </c>
      <c r="S22" s="64">
        <f>I22</f>
        <v>1</v>
      </c>
      <c r="T22" s="64">
        <f>J22</f>
        <v>2</v>
      </c>
      <c r="U22" s="64">
        <f>K22</f>
        <v>3</v>
      </c>
      <c r="V22" s="65">
        <f>L22</f>
        <v>4</v>
      </c>
    </row>
    <row r="23" spans="5:22" x14ac:dyDescent="0.3">
      <c r="E23" t="s">
        <v>5</v>
      </c>
      <c r="F23" s="2" t="s">
        <v>60</v>
      </c>
      <c r="H23" s="66">
        <f>H14</f>
        <v>100</v>
      </c>
      <c r="I23" s="66">
        <f t="shared" ref="I23:L23" si="2">I14</f>
        <v>70</v>
      </c>
      <c r="J23" s="66">
        <f t="shared" si="2"/>
        <v>30</v>
      </c>
      <c r="K23" s="66">
        <f t="shared" si="2"/>
        <v>10</v>
      </c>
      <c r="L23" s="66">
        <f t="shared" si="2"/>
        <v>0</v>
      </c>
      <c r="O23" s="87" t="s">
        <v>61</v>
      </c>
      <c r="P23" s="87"/>
      <c r="Q23" t="s">
        <v>62</v>
      </c>
      <c r="R23" s="66">
        <f xml:space="preserve"> ( S23 + I51 ) / ( 1 + I8 )</f>
        <v>70</v>
      </c>
      <c r="S23" s="66">
        <f xml:space="preserve"> ( T23 + J51 ) / ( 1 + J8 )</f>
        <v>40</v>
      </c>
      <c r="T23" s="66">
        <f xml:space="preserve"> ( U23 + K51 ) / ( 1 + K8 )</f>
        <v>20</v>
      </c>
      <c r="U23" s="66">
        <f xml:space="preserve"> ( V23 + L51 ) / ( 1 + L8 )</f>
        <v>10</v>
      </c>
      <c r="V23" s="66">
        <v>0</v>
      </c>
    </row>
    <row r="24" spans="5:22" x14ac:dyDescent="0.3">
      <c r="E24" s="67" t="s">
        <v>63</v>
      </c>
      <c r="F24" s="68" t="s">
        <v>64</v>
      </c>
      <c r="G24" s="67"/>
      <c r="H24" s="69">
        <f xml:space="preserve"> G24 + H34 + H47</f>
        <v>0</v>
      </c>
      <c r="I24" s="69">
        <f xml:space="preserve"> H24 + I34 + I47</f>
        <v>0.48749999999999982</v>
      </c>
      <c r="J24" s="69">
        <f xml:space="preserve"> I24 + J34 + J47</f>
        <v>3.1065124999999991</v>
      </c>
      <c r="K24" s="69">
        <f xml:space="preserve"> J24 + K34 + K47</f>
        <v>5.6526664874999994</v>
      </c>
      <c r="L24" s="69">
        <f xml:space="preserve"> K24 + L34 + L47</f>
        <v>0</v>
      </c>
      <c r="O24" s="87" t="s">
        <v>65</v>
      </c>
      <c r="P24" s="87"/>
      <c r="Q24" t="s">
        <v>66</v>
      </c>
      <c r="R24" s="66">
        <f xml:space="preserve"> ( S24 + I54 ) / ( 1 + I9 )</f>
        <v>6.9388939039072284E-16</v>
      </c>
      <c r="S24" s="66">
        <f xml:space="preserve"> ( T24 + J54 ) / ( 1 + J9 )</f>
        <v>0.48750000000000054</v>
      </c>
      <c r="T24" s="66">
        <f xml:space="preserve"> ( U24 + K54 ) / ( 1 + K9 )</f>
        <v>3.1065125</v>
      </c>
      <c r="U24" s="66">
        <f xml:space="preserve"> ( V24 + L54 ) / ( 1 + L9 )</f>
        <v>5.6526664875000003</v>
      </c>
      <c r="V24" s="66">
        <v>0</v>
      </c>
    </row>
    <row r="25" spans="5:22" x14ac:dyDescent="0.3">
      <c r="E25" s="2" t="s">
        <v>67</v>
      </c>
      <c r="F25" s="2" t="s">
        <v>68</v>
      </c>
      <c r="H25" s="66">
        <f>SUM(H23:H24)</f>
        <v>100</v>
      </c>
      <c r="I25" s="66">
        <f t="shared" ref="I25:L25" si="3">SUM(I23:I24)</f>
        <v>70.487499999999997</v>
      </c>
      <c r="J25" s="66">
        <f t="shared" si="3"/>
        <v>33.106512500000001</v>
      </c>
      <c r="K25" s="66">
        <f t="shared" si="3"/>
        <v>15.652666487499999</v>
      </c>
      <c r="L25" s="66">
        <f t="shared" si="3"/>
        <v>0</v>
      </c>
      <c r="O25" s="87" t="s">
        <v>69</v>
      </c>
      <c r="P25" s="87"/>
      <c r="Q25" t="s">
        <v>70</v>
      </c>
      <c r="R25" s="66">
        <f>R23-R24</f>
        <v>70</v>
      </c>
      <c r="S25" s="66">
        <f>S23-S24</f>
        <v>39.512500000000003</v>
      </c>
      <c r="T25" s="66">
        <f>T23-T24</f>
        <v>16.893487499999999</v>
      </c>
      <c r="U25" s="66">
        <f>U23-U24</f>
        <v>4.3473335124999997</v>
      </c>
      <c r="V25" s="66">
        <f>V23-V24</f>
        <v>0</v>
      </c>
    </row>
    <row r="26" spans="5:22" x14ac:dyDescent="0.3">
      <c r="O26" s="87"/>
      <c r="P26" s="87"/>
      <c r="Q26" t="s">
        <v>71</v>
      </c>
      <c r="S26" s="70">
        <f xml:space="preserve"> ( S25 + I56 ) / R25 - 1</f>
        <v>5.0000000000000044E-2</v>
      </c>
      <c r="T26" s="70">
        <f xml:space="preserve"> ( T25 + J56 ) / S25 - 1</f>
        <v>5.012337867763339E-2</v>
      </c>
      <c r="U26" s="70">
        <f xml:space="preserve"> ( U25 + K56 ) / T25 - 1</f>
        <v>5.1838881699234785E-2</v>
      </c>
      <c r="V26" s="70">
        <f xml:space="preserve"> ( V25 + L56 ) / U25 - 1</f>
        <v>6.3002606014115781E-2</v>
      </c>
    </row>
    <row r="27" spans="5:22" x14ac:dyDescent="0.3">
      <c r="E27" t="s">
        <v>6</v>
      </c>
      <c r="F27" s="2" t="s">
        <v>72</v>
      </c>
      <c r="H27" s="66">
        <f>H15</f>
        <v>70</v>
      </c>
      <c r="I27" s="66">
        <f t="shared" ref="I27:L27" si="4">I15</f>
        <v>40</v>
      </c>
      <c r="J27" s="66">
        <f t="shared" si="4"/>
        <v>20</v>
      </c>
      <c r="K27" s="66">
        <f t="shared" si="4"/>
        <v>10</v>
      </c>
      <c r="L27" s="66">
        <f t="shared" si="4"/>
        <v>0</v>
      </c>
      <c r="O27" s="87" t="s">
        <v>73</v>
      </c>
      <c r="P27" s="87"/>
      <c r="Q27" t="s">
        <v>74</v>
      </c>
      <c r="S27" s="71">
        <f xml:space="preserve"> (-1) * ( I34 + I33 )</f>
        <v>3.5</v>
      </c>
      <c r="T27" s="71">
        <f xml:space="preserve"> (-1) * ( J34 + J33 )</f>
        <v>1.9804999999999999</v>
      </c>
      <c r="U27" s="71">
        <f xml:space="preserve"> (-1) * ( K34 + K33 )</f>
        <v>0.8757395</v>
      </c>
      <c r="V27" s="71">
        <f xml:space="preserve"> (-1) * ( L34 + L33 )</f>
        <v>0.27389334050000003</v>
      </c>
    </row>
    <row r="28" spans="5:22" x14ac:dyDescent="0.3">
      <c r="E28" s="67" t="s">
        <v>75</v>
      </c>
      <c r="F28" s="68" t="s">
        <v>76</v>
      </c>
      <c r="G28" s="67"/>
      <c r="H28" s="69">
        <f xml:space="preserve"> H29 - H27</f>
        <v>30</v>
      </c>
      <c r="I28" s="69">
        <f t="shared" ref="I28:L28" si="5" xml:space="preserve"> I29 - I27</f>
        <v>30.487499999999997</v>
      </c>
      <c r="J28" s="69">
        <f t="shared" si="5"/>
        <v>13.106512500000001</v>
      </c>
      <c r="K28" s="69">
        <f t="shared" si="5"/>
        <v>5.6526664874999994</v>
      </c>
      <c r="L28" s="69">
        <f t="shared" si="5"/>
        <v>0</v>
      </c>
      <c r="O28" s="87" t="s">
        <v>77</v>
      </c>
      <c r="P28" s="87"/>
      <c r="Q28" t="s">
        <v>78</v>
      </c>
      <c r="S28" s="66">
        <f>I10 * S27</f>
        <v>0.875</v>
      </c>
      <c r="T28" s="66">
        <f>J10 * T27</f>
        <v>0.49512499999999998</v>
      </c>
      <c r="U28" s="66">
        <f>K10 * U27</f>
        <v>0.218934875</v>
      </c>
      <c r="V28" s="66">
        <f>L10 * V27</f>
        <v>6.8473335125000007E-2</v>
      </c>
    </row>
    <row r="29" spans="5:22" x14ac:dyDescent="0.3">
      <c r="E29" s="2" t="s">
        <v>79</v>
      </c>
      <c r="F29" s="2" t="s">
        <v>80</v>
      </c>
      <c r="G29" s="2"/>
      <c r="H29" s="66">
        <f>H25</f>
        <v>100</v>
      </c>
      <c r="I29" s="66">
        <f t="shared" ref="I29:L29" si="6">I25</f>
        <v>70.487499999999997</v>
      </c>
      <c r="J29" s="66">
        <f t="shared" si="6"/>
        <v>33.106512500000001</v>
      </c>
      <c r="K29" s="66">
        <f t="shared" si="6"/>
        <v>15.652666487499999</v>
      </c>
      <c r="L29" s="66">
        <f t="shared" si="6"/>
        <v>0</v>
      </c>
      <c r="O29" s="87" t="s">
        <v>81</v>
      </c>
      <c r="P29" s="87"/>
      <c r="Q29" t="s">
        <v>82</v>
      </c>
      <c r="R29" s="66">
        <f xml:space="preserve"> ( S29 + S28 ) / ( 1 + S26 )</f>
        <v>1.5266852090461134</v>
      </c>
      <c r="S29" s="66">
        <f xml:space="preserve"> ( T29 + T28 ) / ( 1 + T26 )</f>
        <v>0.72801946949841911</v>
      </c>
      <c r="T29" s="66">
        <f xml:space="preserve"> ( U29 + U28 ) / ( 1 + U26 )</f>
        <v>0.26938526505277816</v>
      </c>
      <c r="U29" s="66">
        <f xml:space="preserve"> ( V29 + V28 ) / ( 1 + V26 )</f>
        <v>6.4415020939366102E-2</v>
      </c>
      <c r="V29" s="66">
        <v>0</v>
      </c>
    </row>
    <row r="30" spans="5:22" x14ac:dyDescent="0.3">
      <c r="O30" s="72" t="s">
        <v>83</v>
      </c>
      <c r="P30" s="72"/>
      <c r="Q30" t="s">
        <v>84</v>
      </c>
      <c r="R30" s="66">
        <f xml:space="preserve"> ( S30 + I55 ) / ( 1 + I7 )</f>
        <v>110.09075548590793</v>
      </c>
      <c r="S30" s="66">
        <f xml:space="preserve"> ( T30 + J55 ) / ( 1 + J7 )</f>
        <v>88.003461253935058</v>
      </c>
      <c r="T30" s="66">
        <f xml:space="preserve"> ( U30 + K55 ) / ( 1 + K7 )</f>
        <v>52.823945829485986</v>
      </c>
      <c r="U30" s="66">
        <f xml:space="preserve"> ( V30 + L55 ) / ( 1 + L7 )</f>
        <v>25.219298245614031</v>
      </c>
      <c r="V30" s="66">
        <v>0</v>
      </c>
    </row>
    <row r="31" spans="5:22" ht="25.8" x14ac:dyDescent="0.5">
      <c r="F31" s="60" t="s">
        <v>24</v>
      </c>
      <c r="Q31" t="s">
        <v>85</v>
      </c>
      <c r="R31" s="66">
        <f xml:space="preserve"> SUM(R29:R30)</f>
        <v>111.61744069495404</v>
      </c>
    </row>
    <row r="32" spans="5:22" x14ac:dyDescent="0.3">
      <c r="E32" t="s">
        <v>0</v>
      </c>
      <c r="F32" t="s">
        <v>0</v>
      </c>
      <c r="I32" s="66">
        <f>I13</f>
        <v>10</v>
      </c>
      <c r="J32" s="66">
        <f t="shared" ref="J32:L32" si="7">J13</f>
        <v>10</v>
      </c>
      <c r="K32" s="66">
        <f t="shared" si="7"/>
        <v>20</v>
      </c>
      <c r="L32" s="66">
        <f t="shared" si="7"/>
        <v>25</v>
      </c>
      <c r="Q32" t="s">
        <v>86</v>
      </c>
      <c r="R32" s="66">
        <f xml:space="preserve"> R31 +H50</f>
        <v>11.617440694954041</v>
      </c>
    </row>
    <row r="33" spans="5:18" x14ac:dyDescent="0.3">
      <c r="E33" s="73" t="s">
        <v>87</v>
      </c>
      <c r="F33" s="74" t="s">
        <v>88</v>
      </c>
      <c r="G33" s="73"/>
      <c r="I33" s="66">
        <f xml:space="preserve"> (-1) * I8 * H15</f>
        <v>-3.5</v>
      </c>
      <c r="J33" s="66">
        <f xml:space="preserve"> (-1) * J8 * I15</f>
        <v>-2</v>
      </c>
      <c r="K33" s="66">
        <f xml:space="preserve"> (-1) * K8 * J15</f>
        <v>-1</v>
      </c>
      <c r="L33" s="66">
        <f xml:space="preserve"> (-1) * L8 * K15</f>
        <v>-0.5</v>
      </c>
      <c r="Q33" t="s">
        <v>89</v>
      </c>
      <c r="R33" s="66">
        <f>R32</f>
        <v>11.617440694954041</v>
      </c>
    </row>
    <row r="34" spans="5:18" x14ac:dyDescent="0.3">
      <c r="E34" s="75" t="s">
        <v>90</v>
      </c>
      <c r="F34" s="76" t="s">
        <v>91</v>
      </c>
      <c r="G34" s="75"/>
      <c r="H34" s="67"/>
      <c r="I34" s="69">
        <f xml:space="preserve"> I9 *H24</f>
        <v>0</v>
      </c>
      <c r="J34" s="69">
        <f xml:space="preserve"> J9 *I24</f>
        <v>1.9499999999999993E-2</v>
      </c>
      <c r="K34" s="69">
        <f xml:space="preserve"> K9 *J24</f>
        <v>0.12426049999999997</v>
      </c>
      <c r="L34" s="69">
        <f xml:space="preserve"> L9 *K24</f>
        <v>0.22610665949999997</v>
      </c>
      <c r="R34" s="77" t="str">
        <f>IF(R33&gt;0,"ACCETTA","RIGETTA")</f>
        <v>ACCETTA</v>
      </c>
    </row>
    <row r="35" spans="5:18" x14ac:dyDescent="0.3">
      <c r="E35" s="73" t="s">
        <v>92</v>
      </c>
      <c r="F35" s="73" t="s">
        <v>92</v>
      </c>
      <c r="G35" s="73"/>
      <c r="I35" s="66">
        <f>SUM(I32:I34)</f>
        <v>6.5</v>
      </c>
      <c r="J35" s="66">
        <f t="shared" ref="J35:L35" si="8">SUM(J32:J34)</f>
        <v>8.0195000000000007</v>
      </c>
      <c r="K35" s="66">
        <f t="shared" si="8"/>
        <v>19.124260499999998</v>
      </c>
      <c r="L35" s="66">
        <f t="shared" si="8"/>
        <v>24.726106659500001</v>
      </c>
    </row>
    <row r="36" spans="5:18" x14ac:dyDescent="0.3">
      <c r="E36" s="75" t="s">
        <v>33</v>
      </c>
      <c r="F36" s="76" t="s">
        <v>93</v>
      </c>
      <c r="G36" s="75"/>
      <c r="H36" s="67"/>
      <c r="I36" s="69">
        <f xml:space="preserve"> (-1) * I10 * I35</f>
        <v>-1.625</v>
      </c>
      <c r="J36" s="69">
        <f xml:space="preserve"> (-1) * J10 * J35</f>
        <v>-2.0048750000000002</v>
      </c>
      <c r="K36" s="69">
        <f xml:space="preserve"> (-1) * K10 * K35</f>
        <v>-4.7810651249999996</v>
      </c>
      <c r="L36" s="69">
        <f xml:space="preserve"> (-1) * L10 * L35</f>
        <v>-6.1815266648750002</v>
      </c>
    </row>
    <row r="37" spans="5:18" x14ac:dyDescent="0.3">
      <c r="E37" s="73" t="s">
        <v>94</v>
      </c>
      <c r="F37" s="74" t="s">
        <v>95</v>
      </c>
      <c r="G37" s="73"/>
      <c r="I37" s="66">
        <f>SUM(I35:I36)</f>
        <v>4.875</v>
      </c>
      <c r="J37" s="66">
        <f t="shared" ref="J37:L37" si="9">SUM(J35:J36)</f>
        <v>6.0146250000000006</v>
      </c>
      <c r="K37" s="66">
        <f t="shared" si="9"/>
        <v>14.343195374999999</v>
      </c>
      <c r="L37" s="66">
        <f t="shared" si="9"/>
        <v>18.544579994625</v>
      </c>
    </row>
    <row r="38" spans="5:18" x14ac:dyDescent="0.3">
      <c r="F38" s="73"/>
      <c r="G38" s="73"/>
      <c r="I38" s="66"/>
      <c r="J38" s="66"/>
      <c r="K38" s="66"/>
      <c r="L38" s="66"/>
    </row>
    <row r="39" spans="5:18" x14ac:dyDescent="0.3">
      <c r="E39" s="73" t="s">
        <v>96</v>
      </c>
      <c r="F39" s="2" t="s">
        <v>97</v>
      </c>
      <c r="G39" s="73"/>
      <c r="I39" s="66">
        <f t="shared" ref="I39:L39" si="10">I32 + I36</f>
        <v>8.375</v>
      </c>
      <c r="J39" s="66">
        <f t="shared" si="10"/>
        <v>7.9951249999999998</v>
      </c>
      <c r="K39" s="66">
        <f t="shared" si="10"/>
        <v>15.218934875</v>
      </c>
      <c r="L39" s="66">
        <f t="shared" si="10"/>
        <v>18.818473335124999</v>
      </c>
    </row>
    <row r="40" spans="5:18" x14ac:dyDescent="0.3">
      <c r="E40" t="s">
        <v>98</v>
      </c>
      <c r="F40" s="2" t="s">
        <v>99</v>
      </c>
      <c r="I40" s="66">
        <f t="shared" ref="I40:L40" si="11" xml:space="preserve"> (-1) * I33</f>
        <v>3.5</v>
      </c>
      <c r="J40" s="66">
        <f t="shared" si="11"/>
        <v>2</v>
      </c>
      <c r="K40" s="66">
        <f t="shared" si="11"/>
        <v>1</v>
      </c>
      <c r="L40" s="66">
        <f t="shared" si="11"/>
        <v>0.5</v>
      </c>
    </row>
    <row r="42" spans="5:18" ht="25.8" x14ac:dyDescent="0.5">
      <c r="F42" s="60" t="s">
        <v>100</v>
      </c>
    </row>
    <row r="43" spans="5:18" x14ac:dyDescent="0.3">
      <c r="E43" t="s">
        <v>101</v>
      </c>
      <c r="F43" s="2" t="s">
        <v>102</v>
      </c>
      <c r="H43" s="66">
        <f xml:space="preserve"> H39 - ( H14 - G14 )</f>
        <v>-100</v>
      </c>
      <c r="I43" s="66">
        <f xml:space="preserve"> I39 - ( I14 - H14 )</f>
        <v>38.375</v>
      </c>
      <c r="J43" s="66">
        <f xml:space="preserve"> J39 - ( J14 - I14 )</f>
        <v>47.995125000000002</v>
      </c>
      <c r="K43" s="66">
        <f xml:space="preserve"> K39 - ( K14 - J14 )</f>
        <v>35.218934875000002</v>
      </c>
      <c r="L43" s="66">
        <f xml:space="preserve"> L39 - ( L14 - K14 )</f>
        <v>28.818473335124999</v>
      </c>
    </row>
    <row r="44" spans="5:18" x14ac:dyDescent="0.3">
      <c r="E44" s="75" t="s">
        <v>103</v>
      </c>
      <c r="F44" s="76" t="s">
        <v>104</v>
      </c>
      <c r="G44" s="75"/>
      <c r="H44" s="69">
        <f xml:space="preserve"> (-1) * ( H40 - ( H15 - G15) )</f>
        <v>70</v>
      </c>
      <c r="I44" s="69">
        <f t="shared" ref="I44:L44" si="12" xml:space="preserve"> (-1) * ( I40 - ( I15 - H15) )</f>
        <v>-33.5</v>
      </c>
      <c r="J44" s="69">
        <f t="shared" si="12"/>
        <v>-22</v>
      </c>
      <c r="K44" s="69">
        <f t="shared" si="12"/>
        <v>-11</v>
      </c>
      <c r="L44" s="69">
        <f t="shared" si="12"/>
        <v>-10.5</v>
      </c>
    </row>
    <row r="45" spans="5:18" x14ac:dyDescent="0.3">
      <c r="E45" s="73" t="s">
        <v>105</v>
      </c>
      <c r="F45" s="74" t="s">
        <v>106</v>
      </c>
      <c r="H45" s="66">
        <f>SUM(H43:H44)</f>
        <v>-30</v>
      </c>
      <c r="I45" s="66">
        <f t="shared" ref="I45:L45" si="13">SUM(I43:I44)</f>
        <v>4.875</v>
      </c>
      <c r="J45" s="66">
        <f t="shared" si="13"/>
        <v>25.995125000000002</v>
      </c>
      <c r="K45" s="66">
        <f t="shared" si="13"/>
        <v>24.218934875000002</v>
      </c>
      <c r="L45" s="66">
        <f t="shared" si="13"/>
        <v>18.318473335124999</v>
      </c>
    </row>
    <row r="46" spans="5:18" x14ac:dyDescent="0.3">
      <c r="E46" s="75" t="s">
        <v>107</v>
      </c>
      <c r="F46" s="76" t="s">
        <v>108</v>
      </c>
      <c r="G46" s="75"/>
      <c r="H46" s="69">
        <f xml:space="preserve"> (-1) * H11 * H45</f>
        <v>30</v>
      </c>
      <c r="I46" s="69">
        <f t="shared" ref="I46:K46" si="14" xml:space="preserve"> (-1) * I11 * I45</f>
        <v>-4.3875000000000002</v>
      </c>
      <c r="J46" s="69">
        <f t="shared" si="14"/>
        <v>-23.395612500000002</v>
      </c>
      <c r="K46" s="69">
        <f t="shared" si="14"/>
        <v>-21.797041387500002</v>
      </c>
      <c r="L46" s="69">
        <f xml:space="preserve"> (-1) * ( L45 + K24 + L34)</f>
        <v>-24.197246482124999</v>
      </c>
    </row>
    <row r="47" spans="5:18" x14ac:dyDescent="0.3">
      <c r="E47" s="73" t="s">
        <v>109</v>
      </c>
      <c r="F47" s="74" t="s">
        <v>110</v>
      </c>
      <c r="G47" s="73"/>
      <c r="H47" s="66">
        <f>H45 + H46</f>
        <v>0</v>
      </c>
      <c r="I47" s="66">
        <f t="shared" ref="I47:L47" si="15">I45 + I46</f>
        <v>0.48749999999999982</v>
      </c>
      <c r="J47" s="66">
        <f t="shared" si="15"/>
        <v>2.5995124999999994</v>
      </c>
      <c r="K47" s="66">
        <f t="shared" si="15"/>
        <v>2.4218934875000002</v>
      </c>
      <c r="L47" s="66">
        <f t="shared" si="15"/>
        <v>-5.8787731470000004</v>
      </c>
    </row>
    <row r="48" spans="5:18" x14ac:dyDescent="0.3">
      <c r="F48" s="73"/>
      <c r="K48" s="78" t="s">
        <v>111</v>
      </c>
      <c r="L48" s="78">
        <f xml:space="preserve"> K28 + L37</f>
        <v>24.197246482124999</v>
      </c>
    </row>
    <row r="49" spans="5:12" x14ac:dyDescent="0.3">
      <c r="F49" t="s">
        <v>112</v>
      </c>
    </row>
    <row r="50" spans="5:12" x14ac:dyDescent="0.3">
      <c r="E50" t="s">
        <v>101</v>
      </c>
      <c r="F50" s="2" t="s">
        <v>102</v>
      </c>
      <c r="H50" s="66">
        <f xml:space="preserve"> H43</f>
        <v>-100</v>
      </c>
      <c r="I50" s="66">
        <f xml:space="preserve"> I43</f>
        <v>38.375</v>
      </c>
      <c r="J50" s="66">
        <f xml:space="preserve"> J43</f>
        <v>47.995125000000002</v>
      </c>
      <c r="K50" s="66">
        <f xml:space="preserve"> K43</f>
        <v>35.218934875000002</v>
      </c>
      <c r="L50" s="66">
        <f xml:space="preserve"> L43</f>
        <v>28.818473335124999</v>
      </c>
    </row>
    <row r="51" spans="5:12" x14ac:dyDescent="0.3">
      <c r="E51" t="s">
        <v>113</v>
      </c>
      <c r="F51" s="2" t="s">
        <v>114</v>
      </c>
      <c r="H51" s="66">
        <f xml:space="preserve"> (-1) * H44</f>
        <v>-70</v>
      </c>
      <c r="I51" s="66">
        <f xml:space="preserve"> (-1) * I44</f>
        <v>33.5</v>
      </c>
      <c r="J51" s="66">
        <f xml:space="preserve"> (-1) * J44</f>
        <v>22</v>
      </c>
      <c r="K51" s="66">
        <f xml:space="preserve"> (-1) * K44</f>
        <v>11</v>
      </c>
      <c r="L51" s="66">
        <f xml:space="preserve"> (-1) * L44</f>
        <v>10.5</v>
      </c>
    </row>
    <row r="52" spans="5:12" x14ac:dyDescent="0.3">
      <c r="E52" t="s">
        <v>46</v>
      </c>
      <c r="F52" s="2" t="s">
        <v>115</v>
      </c>
      <c r="H52" s="66">
        <f xml:space="preserve"> H45</f>
        <v>-30</v>
      </c>
      <c r="I52" s="66">
        <f xml:space="preserve"> I45</f>
        <v>4.875</v>
      </c>
      <c r="J52" s="66">
        <f xml:space="preserve"> J45</f>
        <v>25.995125000000002</v>
      </c>
      <c r="K52" s="66">
        <f xml:space="preserve"> K45</f>
        <v>24.218934875000002</v>
      </c>
      <c r="L52" s="66">
        <f xml:space="preserve"> L45</f>
        <v>18.318473335124999</v>
      </c>
    </row>
    <row r="53" spans="5:12" x14ac:dyDescent="0.3">
      <c r="E53" t="s">
        <v>48</v>
      </c>
      <c r="F53" s="2" t="s">
        <v>116</v>
      </c>
      <c r="H53" s="66">
        <f xml:space="preserve"> (-1) * H46</f>
        <v>-30</v>
      </c>
      <c r="I53" s="66">
        <f t="shared" ref="I53:L53" si="16" xml:space="preserve"> (-1) * I46</f>
        <v>4.3875000000000002</v>
      </c>
      <c r="J53" s="66">
        <f t="shared" si="16"/>
        <v>23.395612500000002</v>
      </c>
      <c r="K53" s="66">
        <f t="shared" si="16"/>
        <v>21.797041387500002</v>
      </c>
      <c r="L53" s="66">
        <f t="shared" si="16"/>
        <v>24.197246482124999</v>
      </c>
    </row>
    <row r="54" spans="5:12" x14ac:dyDescent="0.3">
      <c r="E54" t="s">
        <v>117</v>
      </c>
      <c r="F54" s="2" t="s">
        <v>118</v>
      </c>
      <c r="H54" s="66">
        <f xml:space="preserve">  (-1) * H47</f>
        <v>0</v>
      </c>
      <c r="I54" s="66">
        <f t="shared" ref="I54:L54" si="17" xml:space="preserve">  (-1) * I47</f>
        <v>-0.48749999999999982</v>
      </c>
      <c r="J54" s="66">
        <f t="shared" si="17"/>
        <v>-2.5995124999999994</v>
      </c>
      <c r="K54" s="66">
        <f t="shared" si="17"/>
        <v>-2.4218934875000002</v>
      </c>
      <c r="L54" s="66">
        <f t="shared" si="17"/>
        <v>5.8787731470000004</v>
      </c>
    </row>
    <row r="55" spans="5:12" x14ac:dyDescent="0.3">
      <c r="E55" t="s">
        <v>119</v>
      </c>
      <c r="F55" s="2" t="s">
        <v>120</v>
      </c>
      <c r="H55" s="66">
        <f xml:space="preserve"> H32 * ( 1 - H10 ) - ( H23 - G23 )</f>
        <v>-100</v>
      </c>
      <c r="I55" s="66">
        <f xml:space="preserve"> I32 * ( 1 - I10 ) - ( I23 - H23 )</f>
        <v>37.5</v>
      </c>
      <c r="J55" s="66">
        <f xml:space="preserve"> J32 * ( 1 - J10 ) - ( J23 - I23 )</f>
        <v>47.5</v>
      </c>
      <c r="K55" s="66">
        <f xml:space="preserve"> K32 * ( 1 - K10 ) - ( K23 - J23 )</f>
        <v>35</v>
      </c>
      <c r="L55" s="66">
        <f xml:space="preserve"> L32 * ( 1 - L10 ) - ( L23 - K23 )</f>
        <v>28.75</v>
      </c>
    </row>
    <row r="56" spans="5:12" x14ac:dyDescent="0.3">
      <c r="E56" t="s">
        <v>121</v>
      </c>
      <c r="F56" s="2" t="s">
        <v>122</v>
      </c>
      <c r="H56" s="66">
        <f xml:space="preserve"> H51 - H54</f>
        <v>-70</v>
      </c>
      <c r="I56" s="66">
        <f t="shared" ref="I56:L56" si="18" xml:space="preserve"> I51 - I54</f>
        <v>33.987499999999997</v>
      </c>
      <c r="J56" s="66">
        <f t="shared" si="18"/>
        <v>24.599512499999999</v>
      </c>
      <c r="K56" s="66">
        <f t="shared" si="18"/>
        <v>13.4218934875</v>
      </c>
      <c r="L56" s="66">
        <f t="shared" si="18"/>
        <v>4.6212268529999996</v>
      </c>
    </row>
  </sheetData>
  <mergeCells count="9">
    <mergeCell ref="E2:F4"/>
    <mergeCell ref="O28:P28"/>
    <mergeCell ref="O29:P29"/>
    <mergeCell ref="Q20:V20"/>
    <mergeCell ref="O23:P23"/>
    <mergeCell ref="O24:P24"/>
    <mergeCell ref="O25:P25"/>
    <mergeCell ref="O26:P26"/>
    <mergeCell ref="O27:P27"/>
  </mergeCells>
  <pageMargins left="0.7" right="0.7" top="0.75" bottom="0.75" header="0.3" footer="0.3"/>
  <pageSetup paperSize="9" orientation="portrait" r:id="rId1"/>
  <ignoredErrors>
    <ignoredError sqref="H51:L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Modello contabile</vt:lpstr>
      <vt:lpstr>Modello contabile e finanziario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2021-07-15T20:05:09Z</dcterms:created>
  <dcterms:modified xsi:type="dcterms:W3CDTF">2022-05-02T08:45:05Z</dcterms:modified>
</cp:coreProperties>
</file>